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e\Desktop\Vigilância\"/>
    </mc:Choice>
  </mc:AlternateContent>
  <xr:revisionPtr revIDLastSave="0" documentId="8_{7546018C-161D-4A0F-A228-86FC92C630A9}" xr6:coauthVersionLast="45" xr6:coauthVersionMax="45" xr10:uidLastSave="{00000000-0000-0000-0000-000000000000}"/>
  <bookViews>
    <workbookView xWindow="-120" yWindow="-120" windowWidth="21840" windowHeight="13140" tabRatio="999" xr2:uid="{00000000-000D-0000-FFFF-FFFF00000000}"/>
  </bookViews>
  <sheets>
    <sheet name="SA. DIURNO DESARMADO 12X36" sheetId="15" r:id="rId1"/>
    <sheet name="SA. NOTURNO ARMADO 12x36" sheetId="13" r:id="rId2"/>
    <sheet name="SA. UNIFORMES E EQUIPAMENTOS" sheetId="12" r:id="rId3"/>
    <sheet name="SA. RESUMO DA PROPOSTA" sheetId="6" r:id="rId4"/>
    <sheet name="SA. OBSERVAÇÕES" sheetId="14" r:id="rId5"/>
  </sheets>
  <definedNames>
    <definedName name="_xlnm.Print_Area" localSheetId="0">'SA. DIURNO DESARMADO 12X36'!$A$1:$G$178</definedName>
    <definedName name="_xlnm.Print_Area" localSheetId="1">'SA. NOTURNO ARMADO 12x36'!$A$1:$G$180</definedName>
    <definedName name="_xlnm.Print_Area" localSheetId="4">'SA. OBSERVAÇÕES'!$A$1:$J$100</definedName>
    <definedName name="_xlnm.Print_Area" localSheetId="3">'SA. RESUMO DA PROPOSTA'!$A$1:$I$44</definedName>
    <definedName name="_xlnm.Print_Area" localSheetId="2">'SA. UNIFORMES E EQUIPAMENTOS'!$A$1:$H$43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3" l="1"/>
  <c r="F3" i="13"/>
  <c r="B3" i="13"/>
  <c r="F7" i="6" l="1"/>
  <c r="F6" i="6"/>
  <c r="I15" i="6"/>
  <c r="G43" i="13"/>
  <c r="F159" i="15" l="1"/>
  <c r="F158" i="15"/>
  <c r="G134" i="15"/>
  <c r="G139" i="15" s="1"/>
  <c r="G87" i="15"/>
  <c r="E70" i="15"/>
  <c r="E76" i="15" s="1"/>
  <c r="G43" i="15"/>
  <c r="G92" i="15" s="1"/>
  <c r="G30" i="15"/>
  <c r="G27" i="15"/>
  <c r="G33" i="15" s="1"/>
  <c r="E10" i="15"/>
  <c r="G8" i="15"/>
  <c r="B4" i="15"/>
  <c r="G83" i="15" l="1"/>
  <c r="G34" i="15"/>
  <c r="F157" i="15"/>
  <c r="G35" i="15"/>
  <c r="G44" i="15" s="1"/>
  <c r="G32" i="15"/>
  <c r="G31" i="15"/>
  <c r="G49" i="15" s="1"/>
  <c r="G50" i="15" s="1"/>
  <c r="G29" i="15"/>
  <c r="G28" i="15" s="1"/>
  <c r="G45" i="15" l="1"/>
  <c r="G46" i="15" s="1"/>
  <c r="G48" i="15" s="1"/>
  <c r="G60" i="15" l="1"/>
  <c r="G52" i="15"/>
  <c r="G171" i="15"/>
  <c r="B120" i="15"/>
  <c r="G112" i="15"/>
  <c r="G113" i="15" s="1"/>
  <c r="G91" i="15"/>
  <c r="G94" i="15" s="1"/>
  <c r="G103" i="15" s="1"/>
  <c r="G59" i="15"/>
  <c r="G61" i="15" l="1"/>
  <c r="G101" i="15" s="1"/>
  <c r="G73" i="15"/>
  <c r="G69" i="15"/>
  <c r="G111" i="15"/>
  <c r="G109" i="15"/>
  <c r="G72" i="15"/>
  <c r="G114" i="15"/>
  <c r="G71" i="15"/>
  <c r="G75" i="15"/>
  <c r="G68" i="15" l="1"/>
  <c r="G74" i="15"/>
  <c r="G70" i="15"/>
  <c r="G110" i="15"/>
  <c r="G115" i="15" s="1"/>
  <c r="G76" i="15" l="1"/>
  <c r="G173" i="15"/>
  <c r="F120" i="15"/>
  <c r="G102" i="15"/>
  <c r="G104" i="15" s="1"/>
  <c r="G128" i="15"/>
  <c r="G172" i="15" l="1"/>
  <c r="D120" i="15"/>
  <c r="G120" i="15" s="1"/>
  <c r="G126" i="15" l="1"/>
  <c r="G127" i="15"/>
  <c r="G121" i="15"/>
  <c r="G129" i="15"/>
  <c r="G125" i="15"/>
  <c r="G124" i="15"/>
  <c r="G130" i="15" l="1"/>
  <c r="G138" i="15" s="1"/>
  <c r="G140" i="15" s="1"/>
  <c r="G174" i="15" l="1"/>
  <c r="G6" i="12" l="1"/>
  <c r="G7" i="12"/>
  <c r="G8" i="12"/>
  <c r="G9" i="12"/>
  <c r="G10" i="12"/>
  <c r="G11" i="12"/>
  <c r="G12" i="12"/>
  <c r="G5" i="12"/>
  <c r="E10" i="13" l="1"/>
  <c r="F161" i="13"/>
  <c r="F160" i="13"/>
  <c r="F159" i="13" l="1"/>
  <c r="G89" i="13"/>
  <c r="E72" i="13"/>
  <c r="E78" i="13" s="1"/>
  <c r="G94" i="13"/>
  <c r="G30" i="13"/>
  <c r="G27" i="13"/>
  <c r="G8" i="13"/>
  <c r="B4" i="13"/>
  <c r="G31" i="13" l="1"/>
  <c r="G33" i="13"/>
  <c r="G44" i="13" s="1"/>
  <c r="G32" i="13"/>
  <c r="G34" i="13"/>
  <c r="G29" i="13"/>
  <c r="G28" i="13" s="1"/>
  <c r="G35" i="13"/>
  <c r="G46" i="13" s="1"/>
  <c r="G85" i="13"/>
  <c r="H30" i="12"/>
  <c r="H31" i="12"/>
  <c r="H32" i="12"/>
  <c r="H33" i="12"/>
  <c r="H34" i="12"/>
  <c r="H35" i="12"/>
  <c r="H36" i="12"/>
  <c r="H37" i="12"/>
  <c r="H38" i="12"/>
  <c r="H39" i="12"/>
  <c r="H40" i="12"/>
  <c r="H41" i="12"/>
  <c r="H29" i="12"/>
  <c r="H19" i="12"/>
  <c r="H20" i="12"/>
  <c r="H21" i="12"/>
  <c r="H22" i="12"/>
  <c r="H23" i="12"/>
  <c r="H18" i="12"/>
  <c r="H6" i="12"/>
  <c r="H7" i="12"/>
  <c r="H8" i="12"/>
  <c r="H9" i="12"/>
  <c r="H10" i="12"/>
  <c r="H11" i="12"/>
  <c r="H12" i="12"/>
  <c r="H5" i="12"/>
  <c r="H42" i="12" l="1"/>
  <c r="G148" i="13" s="1"/>
  <c r="H24" i="12"/>
  <c r="G146" i="15" s="1"/>
  <c r="H13" i="12"/>
  <c r="G145" i="15" s="1"/>
  <c r="G51" i="13"/>
  <c r="G52" i="13" s="1"/>
  <c r="G45" i="13"/>
  <c r="G47" i="13" s="1"/>
  <c r="G48" i="13" s="1"/>
  <c r="G50" i="13" s="1"/>
  <c r="G148" i="15" l="1"/>
  <c r="G175" i="15" s="1"/>
  <c r="G176" i="15" s="1"/>
  <c r="G114" i="13"/>
  <c r="G115" i="13" s="1"/>
  <c r="G147" i="13"/>
  <c r="G150" i="13" s="1"/>
  <c r="G177" i="13" s="1"/>
  <c r="B122" i="13"/>
  <c r="G173" i="13"/>
  <c r="G62" i="13"/>
  <c r="G93" i="13"/>
  <c r="G96" i="13" s="1"/>
  <c r="G105" i="13" s="1"/>
  <c r="G61" i="13"/>
  <c r="G54" i="13"/>
  <c r="G136" i="13"/>
  <c r="G141" i="13" s="1"/>
  <c r="G111" i="13" l="1"/>
  <c r="G112" i="13" s="1"/>
  <c r="G152" i="15"/>
  <c r="G153" i="15" s="1"/>
  <c r="G154" i="15" s="1"/>
  <c r="G155" i="15" s="1"/>
  <c r="G116" i="13"/>
  <c r="G63" i="13"/>
  <c r="G103" i="13" s="1"/>
  <c r="G113" i="13"/>
  <c r="G72" i="13"/>
  <c r="G70" i="13" l="1"/>
  <c r="G73" i="13"/>
  <c r="G74" i="13"/>
  <c r="G71" i="13"/>
  <c r="G78" i="13" s="1"/>
  <c r="G104" i="13" s="1"/>
  <c r="G106" i="13" s="1"/>
  <c r="D122" i="13" s="1"/>
  <c r="G76" i="13"/>
  <c r="G77" i="13"/>
  <c r="G75" i="13"/>
  <c r="G156" i="15"/>
  <c r="G158" i="15" s="1"/>
  <c r="G117" i="13"/>
  <c r="F122" i="13" s="1"/>
  <c r="G130" i="13" l="1"/>
  <c r="G159" i="15"/>
  <c r="G161" i="15"/>
  <c r="G175" i="13"/>
  <c r="G174" i="13"/>
  <c r="G122" i="13"/>
  <c r="G157" i="15" l="1"/>
  <c r="G162" i="15" s="1"/>
  <c r="G177" i="15" s="1"/>
  <c r="G178" i="15" s="1"/>
  <c r="D6" i="6" s="1"/>
  <c r="I16" i="6" s="1"/>
  <c r="I18" i="6" s="1"/>
  <c r="G123" i="13"/>
  <c r="G127" i="13"/>
  <c r="G131" i="13"/>
  <c r="G128" i="13"/>
  <c r="G129" i="13"/>
  <c r="G126" i="13"/>
  <c r="G132" i="13" l="1"/>
  <c r="G140" i="13" s="1"/>
  <c r="G142" i="13" s="1"/>
  <c r="G176" i="13" s="1"/>
  <c r="G178" i="13" s="1"/>
  <c r="G154" i="13" l="1"/>
  <c r="G155" i="13" s="1"/>
  <c r="G156" i="13" s="1"/>
  <c r="G157" i="13" s="1"/>
  <c r="G158" i="13" s="1"/>
  <c r="G160" i="13" l="1"/>
  <c r="G163" i="13"/>
  <c r="G161" i="13"/>
  <c r="G159" i="13" l="1"/>
  <c r="G164" i="13" s="1"/>
  <c r="G179" i="13" s="1"/>
  <c r="G180" i="13" s="1"/>
  <c r="D7" i="6" s="1"/>
  <c r="H7" i="6" l="1"/>
  <c r="I13" i="6" s="1"/>
  <c r="I17" i="6"/>
  <c r="I19" i="6" s="1"/>
  <c r="I20" i="6" s="1"/>
  <c r="H6" i="6"/>
  <c r="H8" i="6" l="1"/>
  <c r="I12" i="6"/>
  <c r="I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da Luz Pereira</author>
    <author>Evandro</author>
    <author>User</author>
    <author/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Sindicato das Empresas de Segurança e Vigilância do Estado do Rio Grande do Sul - CNPJ: 87.004.982/0001-78 e Sindicato dos Empregados de Empresas de Segurança e Vigilância do Estado do Rio Grande do Sul - CNPJ: 91.343.293/0001-65
</t>
        </r>
      </text>
    </comment>
    <comment ref="B43" authorId="1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Cálculo de salário proporcional a 180hs semanais, conforme Cláusula 29ª, § 5º da CCT 2018/2020
</t>
        </r>
      </text>
    </comment>
    <comment ref="B49" authorId="2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Considerado intervalo intrajornada de 30min, conforme consta na Cláusula 69ª da CCT 2019/2020
</t>
        </r>
      </text>
    </comment>
    <comment ref="E83" authorId="1" shapeId="0" xr:uid="{00000000-0006-0000-0000-000004000000}">
      <text>
        <r>
          <rPr>
            <sz val="9"/>
            <color indexed="81"/>
            <rFont val="Segoe UI"/>
            <family val="2"/>
          </rPr>
          <t xml:space="preserve">Não há transporte coletivo no município de Santo Augusto/RS
</t>
        </r>
      </text>
    </comment>
    <comment ref="B91" authorId="2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92" authorId="2" shapeId="0" xr:uid="{00000000-0006-0000-0000-000006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109" authorId="2" shapeId="0" xr:uid="{00000000-0006-0000-0000-000007000000}">
      <text>
        <r>
          <rPr>
            <sz val="9"/>
            <color indexed="81"/>
            <rFont val="Segoe UI"/>
            <family val="2"/>
          </rPr>
          <t xml:space="preserve">Os reflexos de 13º salário, férias e 1/3 de férias são referentes a 1 mês de Aviso Prévio Indenizado, considerando 3 dias a mais, conforme Lei nº 12.506/2011, pois trata-se de contrato de período de execução de 20 meses. Na prorrogação contratual, deverá ocorrer a análise deste item, considerando 3 dias ou mais, dependendo do nº de ocorrências deste evento no período. 
</t>
        </r>
      </text>
    </comment>
    <comment ref="B111" authorId="3" shapeId="0" xr:uid="{00000000-0006-0000-0000-000008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112" authorId="2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Negociar extinção/redução na 1ª prorrogação contratual.
</t>
        </r>
      </text>
    </comment>
    <comment ref="B114" authorId="3" shapeId="0" xr:uid="{00000000-0006-0000-0000-00000A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58" authorId="2" shapeId="0" xr:uid="{00000000-0006-0000-0000-00000B000000}">
      <text>
        <r>
          <rPr>
            <sz val="9"/>
            <color indexed="81"/>
            <rFont val="Segoe UI"/>
            <family val="2"/>
          </rPr>
          <t xml:space="preserve">É vedada a insercção do IRPF e CSLL, conforme Acórdão TCU 950/2007 e 205/2018, além de diversas deliberações posteriores.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da Luz Pereira</author>
    <author>Evandro</author>
    <author>User</author>
    <author/>
  </authors>
  <commentList>
    <comment ref="F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Sindicato das Empresas de Segurança e Vigilância do Estado do Rio Grande do Sul - CNPJ: 87.004.982/0001-78 e Sindicato dos Empregados de Empresas de Segurança e Vigilância do Estado do Rio Grande do Sul - CNPJ: 91.343.293/0001-65
</t>
        </r>
      </text>
    </comment>
    <comment ref="B43" authorId="1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Cálculo de salário proporcional a 180hs semanais, conforme Cláusula 29ª, § 5º da CCT 2018/2020
</t>
        </r>
      </text>
    </comment>
    <comment ref="B51" authorId="2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Considerado intervalo intrajornada de 30min, conforme consta na Cláusula 69ª da CCT 2019/2020
</t>
        </r>
      </text>
    </comment>
    <comment ref="E85" authorId="1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Não há transporte coletivo no município de Santo Augusto/RS
</t>
        </r>
      </text>
    </comment>
    <comment ref="B93" authorId="2" shapeId="0" xr:uid="{00000000-0006-0000-0100-000005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94" authorId="2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Fórmula utilizada somente para cálculo na fase interna da licitação. Considerar valor fixo na proposta.
</t>
        </r>
      </text>
    </comment>
    <comment ref="B111" authorId="2" shapeId="0" xr:uid="{00000000-0006-0000-0100-000007000000}">
      <text>
        <r>
          <rPr>
            <b/>
            <sz val="9"/>
            <color indexed="81"/>
            <rFont val="Segoe UI"/>
            <family val="2"/>
          </rPr>
          <t xml:space="preserve">Os reflexos de 13º salário, férias e 1/3 de férias são referentes a 1 mês de Aviso Prévio Indenizado, considerando 3 dias a mais, conforme Lei nº 12.506/2011, pois trata-se de contrato de período de execução de 20 meses. Na prorrogação contratual, deverá ocorrer a análise deste item, considerando 3 dias ou mais, dependendo do nº de ocorrências deste evento no período. </t>
        </r>
      </text>
    </comment>
    <comment ref="B113" authorId="3" shapeId="0" xr:uid="{00000000-0006-0000-0100-000008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Indenizado durante a vigência do Contrato de Prestação de Serviços.</t>
        </r>
      </text>
    </comment>
    <comment ref="B114" authorId="2" shapeId="0" xr:uid="{00000000-0006-0000-0100-000009000000}">
      <text>
        <r>
          <rPr>
            <b/>
            <sz val="9"/>
            <color indexed="81"/>
            <rFont val="Segoe UI"/>
            <family val="2"/>
          </rPr>
          <t>Negociar extinção/redução na 1ª prorrogação contratual</t>
        </r>
      </text>
    </comment>
    <comment ref="B116" authorId="3" shapeId="0" xr:uid="{00000000-0006-0000-0100-00000A000000}">
      <text>
        <r>
          <rPr>
            <b/>
            <sz val="8"/>
            <color rgb="FFFF0000"/>
            <rFont val="Tahoma"/>
            <family val="2"/>
            <charset val="1"/>
          </rPr>
          <t>Multa de 40% sobre Saldo da Conta Vinculada do FGTS para RCT s/Justa Causa, com Aviso Trabalhado ao final do Contrato de Prestação de Serviços.</t>
        </r>
      </text>
    </comment>
    <comment ref="B160" authorId="2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É vedada a insercção do IRPF e CSLL, conforme Acórdão TCU 950/2007 e 205/2018, além de  diversas deliberações posteriores.
</t>
        </r>
      </text>
    </comment>
  </commentList>
</comments>
</file>

<file path=xl/sharedStrings.xml><?xml version="1.0" encoding="utf-8"?>
<sst xmlns="http://schemas.openxmlformats.org/spreadsheetml/2006/main" count="780" uniqueCount="376">
  <si>
    <t>Planilha de Custos e Formação de Preços</t>
  </si>
  <si>
    <t>Processo:</t>
  </si>
  <si>
    <t>Licitação:</t>
  </si>
  <si>
    <t>Dia/hora:</t>
  </si>
  <si>
    <t>DADOS DO PROPONENTE</t>
  </si>
  <si>
    <t>Razão Social...................................:</t>
  </si>
  <si>
    <t>CNPJ..............................................:</t>
  </si>
  <si>
    <t>DISCRIMINAÇÃO DO SERVIÇO</t>
  </si>
  <si>
    <t>A</t>
  </si>
  <si>
    <t>Data de Apresentação da Proposta (dia/mês/ano)</t>
  </si>
  <si>
    <t>B</t>
  </si>
  <si>
    <t>Município/UF</t>
  </si>
  <si>
    <t>C</t>
  </si>
  <si>
    <t>D</t>
  </si>
  <si>
    <t>N° de meses de execução contratual</t>
  </si>
  <si>
    <t>Categoria profissional (vinculada à execução contratual)</t>
  </si>
  <si>
    <t>Data base da categoria (dia/mês/ano)</t>
  </si>
  <si>
    <t>Composição da Remuneração</t>
  </si>
  <si>
    <t>Valor (R$)</t>
  </si>
  <si>
    <t>Adicional de Periculosidade</t>
  </si>
  <si>
    <t>Percentual (%)</t>
  </si>
  <si>
    <t>Adicional Noturno</t>
  </si>
  <si>
    <t>E</t>
  </si>
  <si>
    <t>F</t>
  </si>
  <si>
    <t>G</t>
  </si>
  <si>
    <t>H</t>
  </si>
  <si>
    <t>Assistência Médica e Familiar</t>
  </si>
  <si>
    <t>Submódulo 4.1</t>
  </si>
  <si>
    <t>INSS</t>
  </si>
  <si>
    <t>SEBRAE</t>
  </si>
  <si>
    <t>Submódulo 4.2</t>
  </si>
  <si>
    <t>Aviso Prévio Indenizado</t>
  </si>
  <si>
    <t>Incidência do FGTS sobre Aviso Prévio Indenizado</t>
  </si>
  <si>
    <t>Aviso Prévio Trabalhado</t>
  </si>
  <si>
    <t>PIS</t>
  </si>
  <si>
    <t>Unidade</t>
  </si>
  <si>
    <t xml:space="preserve">IN/MPOG - nº 05/2017 - ANEXO VII-D </t>
  </si>
  <si>
    <t>Submódulo 2.1</t>
  </si>
  <si>
    <t>Submódulo 2.2</t>
  </si>
  <si>
    <t xml:space="preserve">Salário Educação </t>
  </si>
  <si>
    <t>SESC ou SESI</t>
  </si>
  <si>
    <t>SENAI - SENAC</t>
  </si>
  <si>
    <t xml:space="preserve">INCRA </t>
  </si>
  <si>
    <t xml:space="preserve">FGTS </t>
  </si>
  <si>
    <t>Submódulo 2.3</t>
  </si>
  <si>
    <t xml:space="preserve">Insumos Diversos </t>
  </si>
  <si>
    <t xml:space="preserve">Custos Indiretos </t>
  </si>
  <si>
    <t xml:space="preserve">Lucro </t>
  </si>
  <si>
    <t xml:space="preserve">Tributos </t>
  </si>
  <si>
    <t>SUBTOTAL ( A + B + C + D + E )</t>
  </si>
  <si>
    <t xml:space="preserve">Módulo 3 - Provisão para Rescisão </t>
  </si>
  <si>
    <t xml:space="preserve">Módulo 4 - Custo de Reposição do Profissional Ausente </t>
  </si>
  <si>
    <t xml:space="preserve">Módulo 5 - Insumos Diversos </t>
  </si>
  <si>
    <t xml:space="preserve">13º (decimo terceiro) Salário, Férias e Adicional de Férias </t>
  </si>
  <si>
    <t>Classificação Brasileira de Ocupações</t>
  </si>
  <si>
    <t xml:space="preserve">Módulo 6 - Custos Indiretos, Tributos e Lucro </t>
  </si>
  <si>
    <t xml:space="preserve">Módulo 1 - Composição da Remuneração </t>
  </si>
  <si>
    <t xml:space="preserve">DESCRIÇÃO </t>
  </si>
  <si>
    <t>O valor informado deverá ser o custo real do insumo (descontado o valor eventualmente pago pelo empregado).</t>
  </si>
  <si>
    <t xml:space="preserve">Salário Normativo da Categoria Profissional – 220 hs  </t>
  </si>
  <si>
    <t>ANEXO III</t>
  </si>
  <si>
    <t>Declaro para devidos fins que: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</si>
  <si>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</si>
  <si>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</t>
  </si>
  <si>
    <t>4. Que não possuo, em sua cadeia produtiva, empregados executando trabalho degradante ou forçado, observando o disposto nos incisos III e IV do art. 1º e no inciso III do art. 5º da Constituição Federal</t>
  </si>
  <si>
    <t>5. Que para elaboração da presenta proposta foram considereados todos os custos diretos, indiretos, impostos, despesas de pessoa e insumos.</t>
  </si>
  <si>
    <t>6. Que a validade da presente proposta é de 60 dias.</t>
  </si>
  <si>
    <t>CARIMBO E ASSINATURA</t>
  </si>
  <si>
    <t>CBO:  5173-30</t>
  </si>
  <si>
    <t>Ano do Acordo, Convenção ou Sentença Normativa em Dissídio 
Coletivo</t>
  </si>
  <si>
    <t>Valor da Hora Extra (50%) sem periculosidade (valor hora + 50%)</t>
  </si>
  <si>
    <t>Quantidade de vigilantes por posto</t>
  </si>
  <si>
    <t>Vigilante</t>
  </si>
  <si>
    <t>01.02.2020</t>
  </si>
  <si>
    <t>Nota 1</t>
  </si>
  <si>
    <t>Nota 2</t>
  </si>
  <si>
    <t>MÓDULO 1 - COMPOSIÇÃO DA REMUNERAÇÃO</t>
  </si>
  <si>
    <t>Valor do salário/hora (VSH) sem periculosidade (valor salário normativo/220h)</t>
  </si>
  <si>
    <r>
      <t xml:space="preserve">Adicional para troca de uniforme - </t>
    </r>
    <r>
      <rPr>
        <sz val="10"/>
        <color rgb="FF000000"/>
        <rFont val="Calibri"/>
        <family val="2"/>
        <scheme val="minor"/>
      </rPr>
      <t>Cláusula 13ª da CCT 2019/2020 = 1/6 do salário/hora s/peri por dia: (VSH/6=R$ 1,14) = (R$ 1,14x2vig.x15d)</t>
    </r>
  </si>
  <si>
    <r>
      <rPr>
        <b/>
        <sz val="10"/>
        <color rgb="FF000000"/>
        <rFont val="Calibri"/>
        <family val="2"/>
        <scheme val="minor"/>
      </rPr>
      <t xml:space="preserve">Outros </t>
    </r>
    <r>
      <rPr>
        <sz val="10"/>
        <color rgb="FF000000"/>
        <rFont val="Calibri"/>
        <family val="2"/>
        <scheme val="minor"/>
      </rPr>
      <t>(especificar)</t>
    </r>
  </si>
  <si>
    <t>Nota 3</t>
  </si>
  <si>
    <t>MÓDULO 2 - ENCARGOS E BENEFÍCIOS ANUAIS, MENSAIS E DIÁRIOS</t>
  </si>
  <si>
    <r>
      <rPr>
        <b/>
        <sz val="10"/>
        <color rgb="FF000000"/>
        <rFont val="Calibri"/>
        <family val="2"/>
        <scheme val="minor"/>
      </rPr>
      <t>Férias e Adicional de Férias</t>
    </r>
    <r>
      <rPr>
        <sz val="10"/>
        <color rgb="FF000000"/>
        <rFont val="Calibri"/>
        <family val="2"/>
        <scheme val="minor"/>
      </rPr>
      <t xml:space="preserve"> - [(Rem + Rem/3)/12]</t>
    </r>
  </si>
  <si>
    <t>Total do Submódulo 2.1</t>
  </si>
  <si>
    <t>Nota 4</t>
  </si>
  <si>
    <t>Como a Planilha de Custos é calculada mensalmente, provisiona-se proporcionalmente 1/12 (um doze avos) dos valores referentes à gratificação natalina, férias e adicional de férias</t>
  </si>
  <si>
    <t>Nota 5</t>
  </si>
  <si>
    <t>Nota 6</t>
  </si>
  <si>
    <t xml:space="preserve">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</si>
  <si>
    <t>GPS, FGTS e outras Contribuições</t>
  </si>
  <si>
    <t>RAT</t>
  </si>
  <si>
    <t>FAP</t>
  </si>
  <si>
    <t>Total do Submódulo 2.2</t>
  </si>
  <si>
    <t>Nota 7</t>
  </si>
  <si>
    <t>Os percentuais dos encargos previdenciários, do FGTS e demais contribuições são aqueles estabelecidos pela legislação vigente</t>
  </si>
  <si>
    <t>Nota 8</t>
  </si>
  <si>
    <t xml:space="preserve">SAT - Seguro Acidente de Trabalho (RAT x FAP) </t>
  </si>
  <si>
    <t>O SAT , a depender do grau de risco do serviço, irá variar entre 1% para risco leve, 2% para risco médio e 3% para risco grave</t>
  </si>
  <si>
    <t>Nota 9</t>
  </si>
  <si>
    <t>Benefícios Mensais e Diários</t>
  </si>
  <si>
    <r>
      <rPr>
        <b/>
        <sz val="10"/>
        <color rgb="FF000000"/>
        <rFont val="Calibri"/>
        <family val="2"/>
      </rPr>
      <t xml:space="preserve">Transporte </t>
    </r>
    <r>
      <rPr>
        <sz val="10"/>
        <color rgb="FF000000"/>
        <rFont val="Calibri"/>
        <family val="2"/>
      </rPr>
      <t xml:space="preserve">     [(2xVTx30)-(6%xSB)]</t>
    </r>
  </si>
  <si>
    <t>Valor da passagem do transporte coletivo no município de prestação do serviço</t>
  </si>
  <si>
    <t>Quantidade de passagens por dia por empregado</t>
  </si>
  <si>
    <t>Quantidade de dias do mês de recebimento de passagens</t>
  </si>
  <si>
    <t>Valor do Auxílio-Alimentação  (Cláusula 14ª da CCT 2019/2020)</t>
  </si>
  <si>
    <t>Participação do empregado em percentual do salário-base (Cláusula 35ª da CCT 2018/2020)</t>
  </si>
  <si>
    <t>Quantidade de dias do mês de recebimento de auxílio-alimentação</t>
  </si>
  <si>
    <t>Percentual de participação do empregado sobre o auxílio-alimentação (Cláusula 14ª da CCT 2019/2020)</t>
  </si>
  <si>
    <r>
      <rPr>
        <b/>
        <sz val="10"/>
        <color rgb="FF000000"/>
        <rFont val="Calibri"/>
        <family val="2"/>
      </rPr>
      <t>Seguro de Vida</t>
    </r>
    <r>
      <rPr>
        <sz val="10"/>
        <color rgb="FF000000"/>
        <rFont val="Calibri"/>
        <family val="2"/>
      </rPr>
      <t xml:space="preserve"> - Rem x 26 x 0,023% - (Cláusula 39ª da CCT 2018/2020)</t>
    </r>
  </si>
  <si>
    <r>
      <rPr>
        <b/>
        <sz val="10"/>
        <color rgb="FF000000"/>
        <rFont val="Calibri"/>
        <family val="2"/>
      </rPr>
      <t>Auxílio Funeral</t>
    </r>
    <r>
      <rPr>
        <sz val="10"/>
        <color rgb="FF000000"/>
        <rFont val="Calibri"/>
        <family val="2"/>
      </rPr>
      <t xml:space="preserve"> - [(SB x 0,52066%)/12] - (Cláusula 38º da CCT 2018/2020)</t>
    </r>
  </si>
  <si>
    <r>
      <rPr>
        <b/>
        <sz val="10"/>
        <color rgb="FF000000"/>
        <rFont val="Calibri"/>
        <family val="2"/>
      </rPr>
      <t>Outros</t>
    </r>
    <r>
      <rPr>
        <sz val="10"/>
        <color rgb="FF000000"/>
        <rFont val="Calibri"/>
        <family val="2"/>
      </rPr>
      <t xml:space="preserve"> (Especificar)</t>
    </r>
  </si>
  <si>
    <t>Total do Submódulo 2.3</t>
  </si>
  <si>
    <t>Nota 10</t>
  </si>
  <si>
    <t>Nota 11</t>
  </si>
  <si>
    <t>Observar a previsão dos benefícios contidos em Acordos, Convenções e Dissídios Coletivos de Trabalho.</t>
  </si>
  <si>
    <t>QUADRO RESUMO - MÓDULO 2 - BENEFÍCIOS E ENCARGOS ANUAIS, MENSAIS E DIÁRIOS</t>
  </si>
  <si>
    <t>Módulo 2</t>
  </si>
  <si>
    <t>Encargos Previdenciários (GPS), Fundo de Garantia por Tempo de Serviço (FGTS), e Outras Contribuições</t>
  </si>
  <si>
    <t xml:space="preserve">Beneficios e Encargos Anuais, Mensais e Diários </t>
  </si>
  <si>
    <t>Valor</t>
  </si>
  <si>
    <t>BENEFÍCIOS E ENCARGOS ANUAIS, MENSAIS E DIÁRIOS - TOTAL DO MÓDULO 2</t>
  </si>
  <si>
    <t>MÓDULO 3 - PROVISÃO PARA RESCISÃO</t>
  </si>
  <si>
    <t>Descrição</t>
  </si>
  <si>
    <t>Multa do FGTS sobre Aviso Prévio Indenizado  [40% + 8% x (Rem + 13º + Férias + 1/3Férias)] x 5%rotatividade</t>
  </si>
  <si>
    <t>Multa FGTS sobre Aviso Prévio Trabalhado   [40% + 8% x (Rem + 13º + Férias + 1/3Férias)] x 100% empregados</t>
  </si>
  <si>
    <t xml:space="preserve">Incidência do Submódulo 2.2 sobre Aviso Prévio Trabalhado  </t>
  </si>
  <si>
    <t>PROVISÃO PARA RESCISÃO - TOTAL DO MODULO 3</t>
  </si>
  <si>
    <t>Módulo 3:</t>
  </si>
  <si>
    <t xml:space="preserve">BCCPA - Base de cálculo para o custo de Reposição do Profissional Ausente (substituto): Módulo 1 + Módulo 2 + Módulo 3 </t>
  </si>
  <si>
    <t>Submódulo 4.1 - Substituto nas Ausências Legais</t>
  </si>
  <si>
    <t>Custo Diário: BCCPA/30</t>
  </si>
  <si>
    <r>
      <rPr>
        <b/>
        <sz val="10"/>
        <color rgb="FF000000"/>
        <rFont val="Calibri"/>
        <family val="2"/>
      </rPr>
      <t>Substituto na cobertura de Férias</t>
    </r>
    <r>
      <rPr>
        <sz val="10"/>
        <color rgb="FF000000"/>
        <rFont val="Calibri"/>
        <family val="2"/>
        <charset val="1"/>
      </rPr>
      <t xml:space="preserve">   BCCPA/12</t>
    </r>
  </si>
  <si>
    <r>
      <rPr>
        <b/>
        <sz val="10"/>
        <color rgb="FF000000"/>
        <rFont val="Calibri"/>
        <family val="2"/>
      </rPr>
      <t>Substituto na cobertura de Ausência por Acidente de Trabalho</t>
    </r>
    <r>
      <rPr>
        <sz val="10"/>
        <color rgb="FF000000"/>
        <rFont val="Calibri"/>
        <family val="2"/>
        <charset val="1"/>
      </rPr>
      <t xml:space="preserve">  {[(BCCPA/30)x15dias]/12}x0,78%</t>
    </r>
  </si>
  <si>
    <r>
      <rPr>
        <b/>
        <sz val="10"/>
        <color rgb="FF000000"/>
        <rFont val="Calibri"/>
        <family val="2"/>
      </rPr>
      <t>Substituto na cobertura de Licença Paternidade</t>
    </r>
    <r>
      <rPr>
        <sz val="10"/>
        <color rgb="FF000000"/>
        <rFont val="Calibri"/>
        <family val="2"/>
        <charset val="1"/>
      </rPr>
      <t xml:space="preserve">  {[(BCCPA/30)x5dias]/12}x1,5%</t>
    </r>
  </si>
  <si>
    <r>
      <rPr>
        <b/>
        <sz val="10"/>
        <color rgb="FF000000"/>
        <rFont val="Calibri"/>
        <family val="2"/>
      </rPr>
      <t>Substituto na cobertura de Afastamento Maternidade</t>
    </r>
    <r>
      <rPr>
        <sz val="10"/>
        <color rgb="FF000000"/>
        <rFont val="Calibri"/>
        <family val="2"/>
        <charset val="1"/>
      </rPr>
      <t xml:space="preserve"> {[(Mód.1+Mód.1/3)/12+(sub.2.2+sub.2.3+Mód.3)]x(4/12)}x2%</t>
    </r>
  </si>
  <si>
    <r>
      <rPr>
        <b/>
        <sz val="10"/>
        <rFont val="Calibri"/>
        <family val="2"/>
      </rPr>
      <t>Substituto na cobertuta de Ausência por Doença</t>
    </r>
    <r>
      <rPr>
        <sz val="10"/>
        <rFont val="Calibri"/>
        <family val="2"/>
      </rPr>
      <t xml:space="preserve">  [(BCCPA/30)x3dias])/12</t>
    </r>
  </si>
  <si>
    <t>Total do Submódulo 4.1</t>
  </si>
  <si>
    <t xml:space="preserve">Substituto na Intrajornada </t>
  </si>
  <si>
    <t>Valor do salário/hora (VSH) com periculosidade (valor da hora + 30%)</t>
  </si>
  <si>
    <t>Valor da hora de periculosidade VRP - (30% do valor da hora sem periculosidade)</t>
  </si>
  <si>
    <t>Valor da Hora Extra (50%) com periculosidade (valor hora + 30% periculosidade) + 50%</t>
  </si>
  <si>
    <t>Valor da hora do adicional noturno com periculosidade (valor hora + 30% periculosidade) x 20%</t>
  </si>
  <si>
    <t>Valor do adicional de periculosidade ( 30% do salário normativo)</t>
  </si>
  <si>
    <t>Adicional para troca uniforme sem periculosidade (VSH/6)</t>
  </si>
  <si>
    <t xml:space="preserve">Total do Submodulo 4.2  </t>
  </si>
  <si>
    <t>QUADRO RESUMO - MÓDULO 4 - CUSTO DE REPOSIÇÃO DO PROFISSIONAL AUSENTE</t>
  </si>
  <si>
    <t>Módulo 4</t>
  </si>
  <si>
    <t xml:space="preserve">Substituto nas Ausências Legais </t>
  </si>
  <si>
    <t>CUSTO DE REPOSIÇÃO DO PROFISSIONAL AUSENTE - TOTAL DO MÓDULO 4</t>
  </si>
  <si>
    <t>MARCA / FABRICANTE</t>
  </si>
  <si>
    <t>UNIDADE</t>
  </si>
  <si>
    <t>Valor unitário</t>
  </si>
  <si>
    <t>Período de Amortização (meses)</t>
  </si>
  <si>
    <t>Quantidade por Vigilante</t>
  </si>
  <si>
    <t>Quantidade por Posto</t>
  </si>
  <si>
    <t>Custo mensal unitário</t>
  </si>
  <si>
    <t>Calça social</t>
  </si>
  <si>
    <t>Jaqueta/Japona</t>
  </si>
  <si>
    <t xml:space="preserve">Unidade </t>
  </si>
  <si>
    <t xml:space="preserve">Camisa social manga curta </t>
  </si>
  <si>
    <t>Camisa social manga longa</t>
  </si>
  <si>
    <t>Cinto de nylon</t>
  </si>
  <si>
    <t>Sapatos</t>
  </si>
  <si>
    <t>Par</t>
  </si>
  <si>
    <t>Meia social</t>
  </si>
  <si>
    <t>Crachá de Identificação</t>
  </si>
  <si>
    <t>Valor total mensal por Posto</t>
  </si>
  <si>
    <t>EQUIPAMENTOS ALOCADOS NA EXECUÇÃO CONTRATUAL POR POSTO  (inciso VI do art. 21 da IN SLTI nº 2/2008) - POSTO DIURNO</t>
  </si>
  <si>
    <t>Cassetete</t>
  </si>
  <si>
    <t>Porta Cassetete</t>
  </si>
  <si>
    <t>Apito + Cordão</t>
  </si>
  <si>
    <t>Capa de Chuva</t>
  </si>
  <si>
    <t>Botas de Borracha</t>
  </si>
  <si>
    <t>EQUIPAMENTOS ALOCADOS NA EXECUÇÃO CONTRATUAL POR POSTO  (inciso VI do art. 21 da IN SLTI nº 2/2008) - POSTO NOTURNO</t>
  </si>
  <si>
    <t>Capa de colete a prova de balas</t>
  </si>
  <si>
    <t>Kit Controlador de Ronda com Bastão (caneta), com 06 buttons, e sistema (software)</t>
  </si>
  <si>
    <t>kit</t>
  </si>
  <si>
    <t>Cofre para armazenamento dos materiais pertencentes ao posto</t>
  </si>
  <si>
    <t>* Item com preenchimento obrigatório do campo “Marca / Fabricante”.</t>
  </si>
  <si>
    <r>
      <t xml:space="preserve"> UNIFORMES POR POSTO (02 VIGILANTES TITULARES) -</t>
    </r>
    <r>
      <rPr>
        <b/>
        <sz val="14"/>
        <rFont val="Calibri"/>
        <family val="2"/>
      </rPr>
      <t xml:space="preserve"> POSTO DIURNO E POSTO NOTURNO</t>
    </r>
  </si>
  <si>
    <t>ANEXO XI-C- Serviços de  Vigilância e Segurança Armada e Desarmada (UNIFORMES e EQUIPAMENTOS)</t>
  </si>
  <si>
    <t>Coldre com baleiro para Revólver calibre 38 cano 4 polegadas</t>
  </si>
  <si>
    <t>Lanterna tática profissional, modelo tipo indestrutível, de longo alcance, com LED Q5 ou T6 com zoom, recarregável</t>
  </si>
  <si>
    <t>Livro de Ocorrência tipo caderno Brochurão, costurado, capa dura, 96 folhas, formato 200x275mm</t>
  </si>
  <si>
    <t>Colete balístico Nível II-A*, com registro</t>
  </si>
  <si>
    <t>Cartuchos de Munição calibre 38* (blister com 10 unidades)</t>
  </si>
  <si>
    <t>Revólver calibre 38*, cano de 4 polegadas, tambor para 5 munições</t>
  </si>
  <si>
    <t>Blister com 10 unidades</t>
  </si>
  <si>
    <t>Pesquisa de Preço</t>
  </si>
  <si>
    <t>MÓDULO 5 - INSUMOS DIVERSOS</t>
  </si>
  <si>
    <t>Uniformes</t>
  </si>
  <si>
    <t>Equipamentos</t>
  </si>
  <si>
    <t xml:space="preserve">Outros (especificar) </t>
  </si>
  <si>
    <t>INSUMOS DIVERSOS - TOTAL DO MÓDULO 5</t>
  </si>
  <si>
    <t>MÓDULO 6 - CUSTOS INDIRETOS, LUCRO E TRIBUTOS</t>
  </si>
  <si>
    <r>
      <rPr>
        <b/>
        <sz val="10"/>
        <color rgb="FF000000"/>
        <rFont val="Calibri"/>
        <family val="2"/>
      </rPr>
      <t>BASE DE CÁLCULO DOS CUSTOS INDIRETOS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</t>
    </r>
  </si>
  <si>
    <r>
      <rPr>
        <b/>
        <sz val="10"/>
        <color rgb="FF000000"/>
        <rFont val="Calibri"/>
        <family val="2"/>
      </rPr>
      <t>BASE DE CÁLCULO DO LUCRO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</t>
    </r>
  </si>
  <si>
    <r>
      <rPr>
        <b/>
        <sz val="10"/>
        <color rgb="FF000000"/>
        <rFont val="Calibri"/>
        <family val="2"/>
      </rPr>
      <t>BASE DE CÁLCULO DOS TRIBUTOS</t>
    </r>
    <r>
      <rPr>
        <sz val="10"/>
        <color rgb="FF000000"/>
        <rFont val="Calibri"/>
        <family val="2"/>
      </rPr>
      <t xml:space="preserve">  =  Total do Módulo 1  (</t>
    </r>
    <r>
      <rPr>
        <i/>
        <sz val="10"/>
        <color rgb="FF000000"/>
        <rFont val="Calibri"/>
        <family val="2"/>
      </rPr>
      <t>Composição da  Remuneração)</t>
    </r>
    <r>
      <rPr>
        <sz val="10"/>
        <color rgb="FF000000"/>
        <rFont val="Calibri"/>
        <family val="2"/>
      </rPr>
      <t xml:space="preserve"> + Total do Módulo 2 (</t>
    </r>
    <r>
      <rPr>
        <i/>
        <sz val="10"/>
        <color rgb="FF000000"/>
        <rFont val="Calibri"/>
        <family val="2"/>
      </rPr>
      <t>Encargos e Benefícios Anuais, Mensais e Diários</t>
    </r>
    <r>
      <rPr>
        <sz val="10"/>
        <color rgb="FF000000"/>
        <rFont val="Calibri"/>
        <family val="2"/>
      </rPr>
      <t>) + Total do Módulo 3 (</t>
    </r>
    <r>
      <rPr>
        <i/>
        <sz val="10"/>
        <color rgb="FF000000"/>
        <rFont val="Calibri"/>
        <family val="2"/>
      </rPr>
      <t>Provisão para Rescisão</t>
    </r>
    <r>
      <rPr>
        <sz val="10"/>
        <color rgb="FF000000"/>
        <rFont val="Calibri"/>
        <family val="2"/>
      </rPr>
      <t>) + Total do Módulo 4 (</t>
    </r>
    <r>
      <rPr>
        <i/>
        <sz val="10"/>
        <color rgb="FF000000"/>
        <rFont val="Calibri"/>
        <family val="2"/>
      </rPr>
      <t>Custo de Reposição do Profissional Ausente</t>
    </r>
    <r>
      <rPr>
        <sz val="10"/>
        <color rgb="FF000000"/>
        <rFont val="Calibri"/>
        <family val="2"/>
      </rPr>
      <t>) + Total do Módulo 5 (</t>
    </r>
    <r>
      <rPr>
        <i/>
        <sz val="10"/>
        <color rgb="FF000000"/>
        <rFont val="Calibri"/>
        <family val="2"/>
      </rPr>
      <t>Insumos Diversos</t>
    </r>
    <r>
      <rPr>
        <sz val="10"/>
        <color rgb="FF000000"/>
        <rFont val="Calibri"/>
        <family val="2"/>
      </rPr>
      <t>) + Custos Indiretos + Lucro</t>
    </r>
  </si>
  <si>
    <t>COFINS</t>
  </si>
  <si>
    <t>ISS</t>
  </si>
  <si>
    <t>C.1</t>
  </si>
  <si>
    <t>C.2</t>
  </si>
  <si>
    <t>C.3</t>
  </si>
  <si>
    <t xml:space="preserve">Tributos Federais </t>
  </si>
  <si>
    <t>Tributos Estaduais (especificar)</t>
  </si>
  <si>
    <t>Tributos Municipais</t>
  </si>
  <si>
    <t>---------</t>
  </si>
  <si>
    <t>CUSTOS INDIRETOS, LUCRO E TRIBUTOS - TOTAL DO MÓDULO 6</t>
  </si>
  <si>
    <t>Nota 12</t>
  </si>
  <si>
    <t>Custos Indiretos, Lucro e Tributos por Posto.</t>
  </si>
  <si>
    <t>Cálculo do Tributo:</t>
  </si>
  <si>
    <t>Base de Cálculo para os Tributos</t>
  </si>
  <si>
    <t>_______________________________</t>
  </si>
  <si>
    <t>1 – (Total de tributos em % dividido por 100)</t>
  </si>
  <si>
    <t>x Alíquota do Tributo</t>
  </si>
  <si>
    <t>Nota 13</t>
  </si>
  <si>
    <t>QUADRO RESUMO DO CUSTO POR POSTO DE TRABALHO (com 2 vigilantes)</t>
  </si>
  <si>
    <t>MÃO DE OBRA VINCULADA À EXECUÇÃO CONTRATUAL (valor por posto de trabalho)</t>
  </si>
  <si>
    <t xml:space="preserve">Módulo 2 - Encargos e Beneficios Anuais , Mensais e Diários </t>
  </si>
  <si>
    <t>VALOR TOTAL MENSAL DO POSTO DIURNO DESARMADO 12x36</t>
  </si>
  <si>
    <t>Legislação e Estatísticas que embasam os cálculos da Planilha de Custos e Formação de Preços, constantes nos seguintes documentos:</t>
  </si>
  <si>
    <t>LEI Nº 12.740, de 08 de dezembro de 2012</t>
  </si>
  <si>
    <t>Adicional para troca de uniforme</t>
  </si>
  <si>
    <t>Repouso Semanal Remunerado</t>
  </si>
  <si>
    <t>Pagamento em dobro em feriados na jornada 12x36</t>
  </si>
  <si>
    <t>Rendição para o almoço</t>
  </si>
  <si>
    <t>Intervalo Intrajornada</t>
  </si>
  <si>
    <t>Auxílio Alimentação</t>
  </si>
  <si>
    <t>Seguro de Vida</t>
  </si>
  <si>
    <t>Auxílio Funeral</t>
  </si>
  <si>
    <t>ENCARGOS SOCIAIS E TRABALHISTAS</t>
  </si>
  <si>
    <t>13º Salário</t>
  </si>
  <si>
    <t>Afastamento Maternidade</t>
  </si>
  <si>
    <t>Multa sobre o FGTS e contribuições sociais sobre o aviso prévio indenizado</t>
  </si>
  <si>
    <t>Multa sobre o FGTS e contribuições sociais sobre o aviso prévio trabalhado</t>
  </si>
  <si>
    <t>Ausência por doença</t>
  </si>
  <si>
    <t>Conforme estatística, foi utilizada a média de 03 faltas por ano por empregado, por motivo de doença.</t>
  </si>
  <si>
    <t>Licença Paternidade</t>
  </si>
  <si>
    <t>Conforme estatística, 1,5% dos profissionais se afastam por licenla paternidade, pelo período de 05 dias.</t>
  </si>
  <si>
    <t>Ausências Legais</t>
  </si>
  <si>
    <t>Ausência por Acidente de Trabalho</t>
  </si>
  <si>
    <t>Conforme estatística, 0,78% dos profissionais se afastam devido a acidente de trabalho, onde a empresa arca com os primeiros 15 dias de afastamento.</t>
  </si>
  <si>
    <t>CUSTOS INDIRETOS, TRIBUTOS E LUCRO</t>
  </si>
  <si>
    <t>Custos Indiretos</t>
  </si>
  <si>
    <t>Tributos (ISS)</t>
  </si>
  <si>
    <t>Lucro</t>
  </si>
  <si>
    <t>Valor da hora do adicional noturno sem periculosidade (valor hora x 20%)</t>
  </si>
  <si>
    <r>
      <t xml:space="preserve">Adicional Noturno </t>
    </r>
    <r>
      <rPr>
        <sz val="10"/>
        <rFont val="Calibri"/>
        <family val="2"/>
        <scheme val="minor"/>
      </rPr>
      <t>- Cláusula 28ª e 29ª da CCT 2018/2020 - Das 22h às 05h (8h de adicional noturno para o RS) - AN(s/peri)x8hx15diasx2vig</t>
    </r>
  </si>
  <si>
    <t>Adicional de Hora Noturna Reduzida (como HE)</t>
  </si>
  <si>
    <r>
      <rPr>
        <b/>
        <sz val="10"/>
        <rFont val="Calibri"/>
        <family val="2"/>
        <scheme val="minor"/>
      </rPr>
      <t>Adicional de Hora Noturna Reduzida (como HE)</t>
    </r>
    <r>
      <rPr>
        <sz val="10"/>
        <rFont val="Calibri"/>
        <family val="2"/>
        <scheme val="minor"/>
      </rPr>
      <t xml:space="preserve"> - Cláusula 29ª e 66ª da CCT 2018/2020 - o que excedeu de 190,67h (HE s/peri x 4,33h x 2vig.) -----[195h(=180h + 15h)-190,67=4,33h como horas extras, sendo 15h = (7h x 1,1428571 - 7h)x15dias. Das 22H às 5h</t>
    </r>
  </si>
  <si>
    <r>
      <t>COMPOSIÇÃO DA REMUNERAÇÃO - MÓDULO 1</t>
    </r>
    <r>
      <rPr>
        <b/>
        <sz val="9"/>
        <color rgb="FF000000"/>
        <rFont val="Calibri"/>
        <family val="2"/>
      </rPr>
      <t xml:space="preserve"> (Incide sobre: Quadro-Resumo do Custo por Vigilante, Custos Indiretos, Lucro e Tributos)</t>
    </r>
  </si>
  <si>
    <r>
      <rPr>
        <b/>
        <sz val="10"/>
        <color rgb="FF000000"/>
        <rFont val="Calibri"/>
        <family val="2"/>
        <scheme val="minor"/>
      </rPr>
      <t xml:space="preserve">Adicional de Periculosidade </t>
    </r>
    <r>
      <rPr>
        <sz val="10"/>
        <color rgb="FF000000"/>
        <rFont val="Calibri"/>
        <family val="2"/>
        <scheme val="minor"/>
      </rPr>
      <t>- Lei nº 12.740/2012 - Cláusula 30ª da CCT 2018/2020</t>
    </r>
  </si>
  <si>
    <t>13º (Décimo Terceiro) Salário, Férias e Adicional de Férias</t>
  </si>
  <si>
    <t>Encargos Previdenciários (GPS), Fundo de Garantia por Tempo de Serviço (FGTS) e outras Contribuições                                                                       BASE DE CÁLCULO = MÓDULO 1 +  SUBMÓDULO 2.1</t>
  </si>
  <si>
    <t>Encargos Previdenciários (GPS), Fundo de Garantia por Tempo de Serviço (FGTS) e outras Contribuições                                                                                          BASE DE CÁLCULO = MÓDULO 1 (Total da Remuneração das Verbas Salariais) +  SUBMÓDULO 2.1</t>
  </si>
  <si>
    <t>Subtotal do Módulo 1: Total da Remuneração das VERBAS SALARIAIS</t>
  </si>
  <si>
    <t>Subtotal do Módulo 1: Total da Remuneração das VERBAS INDENIZATÓRIAS</t>
  </si>
  <si>
    <r>
      <rPr>
        <b/>
        <sz val="10"/>
        <color rgb="FF000000"/>
        <rFont val="Calibri"/>
        <family val="2"/>
      </rPr>
      <t>Multa do FGTS sobre Aviso Prévio Indenizado</t>
    </r>
    <r>
      <rPr>
        <sz val="10"/>
        <color rgb="FF000000"/>
        <rFont val="Calibri"/>
        <family val="2"/>
        <charset val="1"/>
      </rPr>
      <t xml:space="preserve">  [40% + 8% x (Rem + 13º + Férias + 1/3Férias)] x 5%rotatividade</t>
    </r>
  </si>
  <si>
    <r>
      <rPr>
        <b/>
        <sz val="10"/>
        <color rgb="FF000000"/>
        <rFont val="Calibri"/>
        <family val="2"/>
      </rPr>
      <t>Multa FGTS sobre Aviso Prévio Trabalhado</t>
    </r>
    <r>
      <rPr>
        <sz val="10"/>
        <color rgb="FF000000"/>
        <rFont val="Calibri"/>
        <family val="2"/>
        <charset val="1"/>
      </rPr>
      <t xml:space="preserve">   [40% + 8% x (Rem + 13º + Férias + 1/3Férias)] x 100% empregados</t>
    </r>
  </si>
  <si>
    <t>Os itens que comtemplam o Módulo 4 se referem ao custo dos dias trabalhados pelo repositor/substituto quando o empregado alocado na prestação do serviço estiver ausente, conforme as previsões estabelecidas na legislação.</t>
  </si>
  <si>
    <t xml:space="preserve">BCCPA - Base de cálculo para o custo de Reposição do Profissional Ausente (substituto): Módulo 1 (Total da Remuneração das Verbas Salariais) + Módulo 2 + Módulo 3 </t>
  </si>
  <si>
    <t>Módulo 1  Verbas Salariais:</t>
  </si>
  <si>
    <t>Substituto na cobertuta de Intervalo para Repouso ou Alimentação</t>
  </si>
  <si>
    <t>CCT 2018/2020 e CCT 2019/2020</t>
  </si>
  <si>
    <t>Tabela do SIMPLES</t>
  </si>
  <si>
    <t>Tributo</t>
  </si>
  <si>
    <t>Alíquota</t>
  </si>
  <si>
    <t>CPP</t>
  </si>
  <si>
    <t>Regime de Tributação: (1)Real (2)Presumido (3 e 4)Simples Nacional</t>
  </si>
  <si>
    <t>Ano do Acordo, Convenção ou Sentença Normativa em Dissídio Coletivo</t>
  </si>
  <si>
    <r>
      <t xml:space="preserve">Tipo de serviço: Vigilância </t>
    </r>
    <r>
      <rPr>
        <sz val="10"/>
        <color rgb="FF000000"/>
        <rFont val="Calibri"/>
        <family val="2"/>
        <charset val="1"/>
      </rPr>
      <t>Armada e Desarmada</t>
    </r>
  </si>
  <si>
    <r>
      <t xml:space="preserve">Tipo de serviço: Vigilância </t>
    </r>
    <r>
      <rPr>
        <sz val="10"/>
        <color rgb="FF000000"/>
        <rFont val="Calibri"/>
        <family val="2"/>
        <charset val="1"/>
      </rPr>
      <t xml:space="preserve"> Armada e Desarmada</t>
    </r>
  </si>
  <si>
    <t>JORNADA DE TRABALHO</t>
  </si>
  <si>
    <r>
      <t>A jornada noturna é compreendida entre 22h da noite e 05h da manhã seguinte (considerando que a hora noturna corresponde a 52,5min) , com remuneração adicional de 20%, de acordo com  o Art.73 da CLT. Conforme Cláusula 29ª da CCT 2018/2020 devem ser pagas 8h de adicional noturno --- 60min-52,5min=7,5min --- (60/52,5x100=14,28571% a mais a cada hora de 60min = 1h por noite) --- 7h + 1h = AN de 20% sobre 8h por noite.</t>
    </r>
    <r>
      <rPr>
        <i/>
        <sz val="11"/>
        <color rgb="FF000000"/>
        <rFont val="Calibri"/>
        <family val="2"/>
      </rPr>
      <t xml:space="preserve"> Obs.: A reforma da CLT desconsiderou a prorrogação da jornada noturna (Art. 73º)</t>
    </r>
  </si>
  <si>
    <r>
      <t xml:space="preserve">Na jornada 12x36 a carga horária mensal é de 180h, e a CCT do RS autoriza o pagamento de HE somente quando exceder 190,67h de trabalho. A cada hora noturna de 60min, o vigilante trabalha 7,5min a mais (60min-52,5min=7,5min) - 60/52,5x100=14,28571% a mais a cada hora de 60min = </t>
    </r>
    <r>
      <rPr>
        <i/>
        <sz val="11"/>
        <color rgb="FF000000"/>
        <rFont val="Calibri"/>
        <family val="2"/>
      </rPr>
      <t>1HE por noite/15HE por mês</t>
    </r>
    <r>
      <rPr>
        <sz val="11"/>
        <color rgb="FF000000"/>
        <rFont val="Calibri"/>
        <family val="2"/>
        <charset val="1"/>
      </rPr>
      <t xml:space="preserve">. </t>
    </r>
    <r>
      <rPr>
        <i/>
        <sz val="11"/>
        <color rgb="FF000000"/>
        <rFont val="Calibri"/>
        <family val="2"/>
      </rPr>
      <t xml:space="preserve">Obs.: A reforma da CLT desconsiderou a prorrogação da jornada noturna (Art. 73º) </t>
    </r>
    <r>
      <rPr>
        <sz val="11"/>
        <color rgb="FF000000"/>
        <rFont val="Calibri"/>
        <family val="2"/>
        <charset val="1"/>
      </rPr>
      <t xml:space="preserve">                                    </t>
    </r>
  </si>
  <si>
    <t>De acordo com a Cláusula Décima Terceira da CCT 2019-2020 o tempo despreendido para a troca de uniforme será remunerado (5 minutos para colocar e 5 minutos para retirar) na proporção de 1/6 do valor da hora normal de trabalho, ou seja, os 10 minutos corresponderão a R$ 1,14 por dia de efetivo serviço, tendo natureza salarial.</t>
  </si>
  <si>
    <r>
      <rPr>
        <b/>
        <sz val="10"/>
        <color rgb="FF000000"/>
        <rFont val="Calibri"/>
        <family val="2"/>
        <scheme val="minor"/>
      </rPr>
      <t>Repouso Semanal Remunerado - RSR</t>
    </r>
    <r>
      <rPr>
        <sz val="10"/>
        <color rgb="FF000000"/>
        <rFont val="Calibri"/>
        <family val="2"/>
        <scheme val="minor"/>
      </rPr>
      <t xml:space="preserve"> - Cláusula 32ª da CCT 2018/2020 (adicional de troca de uniforme x 20%)</t>
    </r>
  </si>
  <si>
    <t>Pagamento de 20% sobre as variáveis, conforme Cláusula 32ª da CCT 2018/2020 (adicional noturno, adicional de hora noturna reduzida e adicional para troca de uniforme).</t>
  </si>
  <si>
    <r>
      <rPr>
        <b/>
        <sz val="10"/>
        <color rgb="FF000000"/>
        <rFont val="Calibri"/>
        <family val="2"/>
        <scheme val="minor"/>
      </rPr>
      <t>Repouso Semanal Remunerado - RSR</t>
    </r>
    <r>
      <rPr>
        <sz val="10"/>
        <color rgb="FF000000"/>
        <rFont val="Calibri"/>
        <family val="2"/>
        <scheme val="minor"/>
      </rPr>
      <t xml:space="preserve"> - Cláusula 32ª da CCT 2018/2020 (adicional noturno + adicional de hora noturna reduzida + adicional de troca de uniforme x 20%)</t>
    </r>
  </si>
  <si>
    <t>Adicional de Periculosidade (com natureza salarial) - instituído pela Lei 12.740/2012, qua alterou o Art. 193 da CLT considerando atividade penosa aquela que tiver exposição pemanente do trabalhador a roubo ou outra espécie de violência física nas atividades profissionais de segurança pessoal ou profissional, determinando também o desconto/compensação de outro adicional por ventura concedido por meio de CCT. Normatizado também pela Cláusula 30ª da CCT 2018/2020.</t>
  </si>
  <si>
    <t>Com a modificação trazida pela reforma trabalhista, pelo Art. 59-A da CLT não é mais devido o pagamento em dobro pelo trabalho realizado em feriados.</t>
  </si>
  <si>
    <t>BENEFÍCIOS ANUAIS, MENSAIS E DIÁRIOS</t>
  </si>
  <si>
    <t>COMPOSIÇÃO DA REMUNERAÇÃO</t>
  </si>
  <si>
    <t>Pagamento de auxílio alimentação em todos os dias do mês, devido a jornada de trabalho ocorrer de segunda a domingo.</t>
  </si>
  <si>
    <t xml:space="preserve">Cálculo do Vale Transporte para todos os dias do mês, uma vez que a jornada de trabalho se dá de segunda a domingo. </t>
  </si>
  <si>
    <t>TIPO DE SERVIÇO - ESCALA DE TRABALHO</t>
  </si>
  <si>
    <t>QUANTIDADE DE  POSTOS</t>
  </si>
  <si>
    <t>I</t>
  </si>
  <si>
    <t>II</t>
  </si>
  <si>
    <t>IDENTIFICAÇÃO DO SERVIÇO</t>
  </si>
  <si>
    <t>Tipo de Serviço</t>
  </si>
  <si>
    <t>Unidade de Medida</t>
  </si>
  <si>
    <t>Quantidade Total a Contratar</t>
  </si>
  <si>
    <t>Posto</t>
  </si>
  <si>
    <t>Valor Proposto por Unidade de Medida</t>
  </si>
  <si>
    <t>I - Posto Diurno Desarmado 12x36</t>
  </si>
  <si>
    <t>II - Posto Noturno Armado 12x36</t>
  </si>
  <si>
    <t>Valor Mensal do Serviço</t>
  </si>
  <si>
    <t>Número de Meses do Contrato</t>
  </si>
  <si>
    <t>Valor Global da Proposta (Valor Mensal do Serviço x nº de meses do contrato)</t>
  </si>
  <si>
    <t>1. Estou CIENTE e de ACORDO com as condições previstas no Termo de Referência.</t>
  </si>
  <si>
    <t>Dados da Empresa:</t>
  </si>
  <si>
    <t>Nota 14</t>
  </si>
  <si>
    <t>MÃO DE OBRA VINCULADA À EXECUÇÃO CONTRATUAL</t>
  </si>
  <si>
    <t>MÃO DE OBRA</t>
  </si>
  <si>
    <t>Dados complementares para composição dos custos referente à mão de obra</t>
  </si>
  <si>
    <t>Deverá ser elaborado um olanilha para cada tipo de serviço.</t>
  </si>
  <si>
    <t>A planilha será calculada considerando o valor mensal do posto.</t>
  </si>
  <si>
    <t>Deverá ser elaborado uma planilha para cada tipo de serviço.</t>
  </si>
  <si>
    <r>
      <rPr>
        <b/>
        <sz val="10"/>
        <color rgb="FF000000"/>
        <rFont val="Calibri"/>
        <family val="2"/>
        <scheme val="minor"/>
      </rPr>
      <t>13º (Décimo Terceiro) Salário</t>
    </r>
    <r>
      <rPr>
        <sz val="10"/>
        <color rgb="FF000000"/>
        <rFont val="Calibri"/>
        <family val="2"/>
        <scheme val="minor"/>
      </rPr>
      <t xml:space="preserve"> - Rem/12</t>
    </r>
  </si>
  <si>
    <t>Como a Planilha de Custos é calculada mensalmente, provisiona-se proporcionalmente 1/12 (um doze avos) dos valores referentes à gratificação natalina, férias e adicional de férias.</t>
  </si>
  <si>
    <t>Os percentuais dos encargos previdenciários, do FGTS e demais contribuições são aqueles estabelecidos pela legislação vigente.</t>
  </si>
  <si>
    <t>O SAT , a depender do grau de risco do serviço, irá variar entre 1% para risco leve, 2% para risco médio e 3% para risco grave.</t>
  </si>
  <si>
    <t xml:space="preserve">Descrição </t>
  </si>
  <si>
    <t xml:space="preserve">MÓDULO 4 - CUSTO DE REPOSIÇÃO DO PROFISSIONAL AUSENTE </t>
  </si>
  <si>
    <t xml:space="preserve">Total do Submódulo 4.2  </t>
  </si>
  <si>
    <t>O Módulo 1 refere-se ao valor mensal devido ao empregado pela prestação do serviço.</t>
  </si>
  <si>
    <t>.O empregado só irá receber o valor correspondente ao intervalo intrajornada se estiver trabalhando.</t>
  </si>
  <si>
    <t>PROVISÃO PARA RESCISÃO - TOTAL DO MÓDULO 3</t>
  </si>
  <si>
    <t>Módulo 2                     Sem  VA e VT:</t>
  </si>
  <si>
    <t>VALOR TOTAL MENSAL DO POSTO NOTURNO ARMADO 12x36</t>
  </si>
  <si>
    <t>VALOR MENSAL DO POSTO (R$)</t>
  </si>
  <si>
    <t>VALOR TOTAL DO SERVIÇO (R$)</t>
  </si>
  <si>
    <t>Conforme cláusula trigésima oitava e trigésima nona da CCT 2018-2020 no caso de falecimento de empregado por morte acidental ou invalidez permanente total decorrente de acidente de trabalho, os seus dependentes receberão o valor de um salário mensal do empregado a título de auxílio funeral, sendo aplicado o percentual de 0,52066% .</t>
  </si>
  <si>
    <r>
      <rPr>
        <b/>
        <sz val="10"/>
        <color rgb="FF000000"/>
        <rFont val="Calibri"/>
        <family val="2"/>
      </rPr>
      <t>Substituto na cobertura de Ausências Legais</t>
    </r>
    <r>
      <rPr>
        <sz val="10"/>
        <color rgb="FF000000"/>
        <rFont val="Calibri"/>
        <family val="2"/>
        <charset val="1"/>
      </rPr>
      <t xml:space="preserve">   [(BCCPA/30)x2,59dias]/12</t>
    </r>
  </si>
  <si>
    <t>Conforme estatística apresentada pelo caderno Técnico do RS 2019 (pág. 3), em média os profissionais se afastam do trabalho por meio de ausências legais 2,59 dias ao ano.</t>
  </si>
  <si>
    <r>
      <rPr>
        <b/>
        <sz val="10"/>
        <color rgb="FF000000"/>
        <rFont val="Calibri"/>
        <family val="2"/>
      </rPr>
      <t xml:space="preserve">Intervalo Intrajornada </t>
    </r>
    <r>
      <rPr>
        <sz val="10"/>
        <color rgb="FF000000"/>
        <rFont val="Calibri"/>
        <family val="2"/>
      </rPr>
      <t>- Cláusula 69ª da CCT 2019/2020 - [(HE s/peri x 0,5) x 15dias x 2vig.]</t>
    </r>
  </si>
  <si>
    <r>
      <rPr>
        <b/>
        <sz val="10"/>
        <color rgb="FF000000"/>
        <rFont val="Calibri"/>
        <family val="2"/>
      </rPr>
      <t xml:space="preserve">Auxílio Alimentação    </t>
    </r>
    <r>
      <rPr>
        <sz val="10"/>
        <color rgb="FF000000"/>
        <rFont val="Calibri"/>
        <family val="2"/>
      </rPr>
      <t xml:space="preserve"> [(30xVA)x(1-0,20)]</t>
    </r>
  </si>
  <si>
    <t>Calculado com base na cláusula trigésima nona da CCT 2018-2020, que no item a) define o pagamento de 26 vezes a remuneração atual do vigilante para cobertura por morte natural e invalidez permanente total , com aplicação de percentual de 0,0023% de ocorrência.</t>
  </si>
  <si>
    <t>Utilizado o percentual de 2% de mulheres que se afastam do serviço em virtude de licença maternidade.</t>
  </si>
  <si>
    <t>Foi utilizado como referência 01 mês de aviso prévio indenizado (o que poderá se alterado e considerado 03 dias a mais na prorrogação, conforme a Lei 12.506/2011, dependendo da análise do nº de ocorrências deste evento no período). Também foi tomado como base o percentual de 5% de rotatividade anual com esta forma de aviso prévio.</t>
  </si>
  <si>
    <t>Multa de 40% sobre Saldo da Conta Vinculada do FGTS para RCT s/Justa Causa, com Aviso Indenizado durante a vigência do Contrato de Prestação de Serviços.</t>
  </si>
  <si>
    <t xml:space="preserve">Foi utilizado o percentual de 100% de vigilantes demitidos ao final do contrato com aviso prévio trabalhado (não leva-se em consideração a Lei 15.506/2011, pois o aviso prévio trabalhado pode ser dado com até 90 dias de antecedência). </t>
  </si>
  <si>
    <t>Multa de 40% sobre Saldo da Conta Vinculada do FGTS para RCT s/Justa Causa, com Aviso Trabalhado durante a vigência do Contrato de Prestação de Serviços.</t>
  </si>
  <si>
    <t>Utilizada a alíquota média entre as pesquisas de preço realizadas.</t>
  </si>
  <si>
    <t xml:space="preserve">13º (décimo terceiro) Salário, Férias e Adicional de Férias </t>
  </si>
  <si>
    <r>
      <t>Aviso Prévio Indenizado</t>
    </r>
    <r>
      <rPr>
        <b/>
        <sz val="10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  <charset val="1"/>
      </rPr>
      <t xml:space="preserve"> [Rem/12 + 13º/12 + Férias/12 + (1/3 x Férias)/12] x (33/30=1) x 5%rotatividade</t>
    </r>
  </si>
  <si>
    <t>Aviso Prévio Trabalhado  [(Rem/33)x7]/12x100% empregados no final do contrato</t>
  </si>
  <si>
    <r>
      <rPr>
        <b/>
        <sz val="10"/>
        <color rgb="FF000000"/>
        <rFont val="Calibri"/>
        <family val="2"/>
      </rPr>
      <t xml:space="preserve">Aviso Prévio Indenizado  </t>
    </r>
    <r>
      <rPr>
        <sz val="10"/>
        <color rgb="FF000000"/>
        <rFont val="Calibri"/>
        <family val="2"/>
        <charset val="1"/>
      </rPr>
      <t xml:space="preserve"> [Rem/12 + 13º/12 + Férias/12 + (1/3 x Férias)/12] x (33/30=1) x 5%rotatividade</t>
    </r>
  </si>
  <si>
    <r>
      <rPr>
        <b/>
        <sz val="10"/>
        <color rgb="FF000000"/>
        <rFont val="Calibri"/>
        <family val="2"/>
      </rPr>
      <t>Aviso Prévio Trabalhado</t>
    </r>
    <r>
      <rPr>
        <sz val="10"/>
        <color rgb="FF000000"/>
        <rFont val="Calibri"/>
        <family val="2"/>
        <charset val="1"/>
      </rPr>
      <t xml:space="preserve">  [(Rem/33)x7]/12x100% empregados no final do contrato</t>
    </r>
  </si>
  <si>
    <r>
      <t xml:space="preserve">PLANILHA DA ADMINISTRAÇÃO - IFFAR </t>
    </r>
    <r>
      <rPr>
        <b/>
        <i/>
        <sz val="10"/>
        <color rgb="FFFF0000"/>
        <rFont val="Calibri"/>
        <family val="2"/>
      </rPr>
      <t>CAMPUS</t>
    </r>
    <r>
      <rPr>
        <b/>
        <sz val="10"/>
        <color rgb="FFFF0000"/>
        <rFont val="Calibri"/>
        <family val="2"/>
        <charset val="1"/>
      </rPr>
      <t xml:space="preserve"> SANTO AUGUSTO</t>
    </r>
  </si>
  <si>
    <t>Santo Augusto/RS</t>
  </si>
  <si>
    <t>Salário Normativo da Categoria Profissional (Jornada de Trabalho de 220 hs)</t>
  </si>
  <si>
    <r>
      <rPr>
        <b/>
        <sz val="10"/>
        <color rgb="FF000000"/>
        <rFont val="Calibri"/>
        <family val="2"/>
        <scheme val="minor"/>
      </rPr>
      <t>Salário Base</t>
    </r>
    <r>
      <rPr>
        <sz val="10"/>
        <color rgb="FF000000"/>
        <rFont val="Calibri"/>
        <family val="2"/>
        <scheme val="minor"/>
      </rPr>
      <t xml:space="preserve"> - Cláusula 3ª da CCT 2019/2020 (valor para 2 vigilantes = 1 posto) - Jornada de Trabalho 12x36 (180hs semanais)</t>
    </r>
  </si>
  <si>
    <t>Módulo 1          Verbas Salariais:</t>
  </si>
  <si>
    <r>
      <rPr>
        <b/>
        <sz val="10"/>
        <color rgb="FF000000"/>
        <rFont val="Calibri"/>
        <family val="2"/>
      </rPr>
      <t xml:space="preserve">Transporte </t>
    </r>
    <r>
      <rPr>
        <sz val="10"/>
        <color rgb="FF000000"/>
        <rFont val="Calibri"/>
        <family val="2"/>
      </rPr>
      <t xml:space="preserve">           [(2xVTx30)-(6%xSB)]</t>
    </r>
  </si>
  <si>
    <t>Jornada de Trabalho 12x36 (12h de trabalho por 36h de descanso), totalizando 180hs semanais</t>
  </si>
  <si>
    <t>Conforme consta no Art. 59-A da CLT atualizada, Anexo VI-A da IN SEGES nº 05/2017 e alterações posteriores,  e também § 3º da Cláusula 67ª da CCT 2018/2020.</t>
  </si>
  <si>
    <r>
      <t xml:space="preserve">Corresponde ao pagamento de substituto do vigilante durante a concessão do intervalo para repouso e alimentação, conforme determinado no </t>
    </r>
    <r>
      <rPr>
        <i/>
        <sz val="11"/>
        <color indexed="8"/>
        <rFont val="Calibri"/>
        <family val="2"/>
      </rPr>
      <t>caput</t>
    </r>
    <r>
      <rPr>
        <sz val="11"/>
        <color rgb="FF000000"/>
        <rFont val="Calibri"/>
        <family val="2"/>
        <charset val="1"/>
      </rPr>
      <t xml:space="preserve"> do Art. 71 da CLT - Consolidação das Leis Trabalhistas. Obs.: Optou-se pela não inclusão da rendição em ambos os postos de trabalho (diurno e noturno).</t>
    </r>
  </si>
  <si>
    <r>
      <t xml:space="preserve">Amparado no § 5º da cláusula 69ª da CCT 2019-2020, por questões de segurança quanto a pandemia do Covid-19, o intervalo nas escalas dirnas e noturnas será remunerado conforme Art. 71 § 4º da CCT, ou seja, com um acréscimo de no mínimo 50% sobre o valor da remuneração da hora normal de trabalho. Foi considerado a indenização de 30min para o intervalo não usufruído, conforme Cláusula 69ª da CCT 2018/2020. </t>
    </r>
    <r>
      <rPr>
        <i/>
        <sz val="11"/>
        <color rgb="FF000000"/>
        <rFont val="Calibri"/>
        <family val="2"/>
      </rPr>
      <t>Obs.: Com a reforma da CLT o Intervalo Intrajornada agora tem natureza indenizatória e não mais salarial.</t>
    </r>
  </si>
  <si>
    <t xml:space="preserve">  Auxílio Transporte</t>
  </si>
  <si>
    <t>Vigilância Desarmada Diurna - Jornada 12 x 36 de segunda-feira a domingo</t>
  </si>
  <si>
    <t>Vigilância Armada Noturna - Jornada 12 x 36 de segunda-feira a domingo</t>
  </si>
  <si>
    <t>VIGILÂNCIA DESARMADA DIURNA 12x36 - Segunda-feira à Domingo</t>
  </si>
  <si>
    <t>VIGILÂNCIA ARMADA NOTURNA 12x36 - Segunda=feira à Domingo</t>
  </si>
  <si>
    <t>Posto de Vigilância Diurna Desarmada Jornada 12 x 36</t>
  </si>
  <si>
    <t>Posto de Vigilância Noturna Armada Jornada 12 x 36</t>
  </si>
  <si>
    <t>INSTRUÇÃO NORMATIVA SEGES Nº 05, de 26 de maio de 2017 atualizada</t>
  </si>
  <si>
    <t>CONVENÇÃO COLETIVA DE TRABALHO DOS VIGILANTES DO RIO GRANDE DO SUL  2018-2020 - Cláusulas Sociais</t>
  </si>
  <si>
    <t>CONVENÇÃO COLETIVA DE TRABALHO DOS VIGILANTES DO RIO GRANDE DO SUL  2019-2020 - Cláusula Salarial</t>
  </si>
  <si>
    <t>CONVENÇÃO COLETIVA DE TRABALHO DOS VIGILANTES DO RIO GRANDE DO SUL  2019-2020 - Cláusulas Econômicas</t>
  </si>
  <si>
    <t>LEI Nº 2.506, de 11 de outubro de 2011</t>
  </si>
  <si>
    <t>CADERNO TÉCNICO DE VIGILÂNCIA DO RS 2019</t>
  </si>
  <si>
    <t>DECRETO-LEI Nº 5.452/1943 - CLT - CONSOLIDAÇÃO DAS LEIS DO TRABALHO e alterações posteriores</t>
  </si>
  <si>
    <t>CÓDIGO TRIBUTÁRIO DO MUNICÍPIO DE SANTO AUGUSTO/RS</t>
  </si>
  <si>
    <t>Obrigatória a cotação de 8,33% sobre o valor do Módulo 1 - Composição da Remuneração, conforme Anexo XII da IN SEGES nº 05/2017 atualizada, em virtude da utilização da Conta Vinculada.</t>
  </si>
  <si>
    <t>Alíquota de ISS conforme Lei Municipal</t>
  </si>
  <si>
    <t>23242.002232/2020-15</t>
  </si>
  <si>
    <t>02/2021</t>
  </si>
  <si>
    <t>10.662.072/0005-81</t>
  </si>
  <si>
    <t>Valor Unitário do Serviço
(Valor Mensal do Posto x nº Meses do Contrato)</t>
  </si>
  <si>
    <t>Valor Total dos Serviços (R$)
(Valor Unitário x nº de Postos)</t>
  </si>
  <si>
    <t>Vigilância Desarmada Noturna - Jornada 12 x 36 de segunda-feira a domingo</t>
  </si>
  <si>
    <t>I - QUADRO RESUMO DO VALOR MENSAL DOS SERVIÇOS</t>
  </si>
  <si>
    <t>II - QUADRO DEMONSTRATIVO - VALOR GLOBAL DA PROPOSTA</t>
  </si>
  <si>
    <t>VALOR MENSAL DOS SERVIÇOS (I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</si>
</sst>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dddd&quot;, &quot;mmmm\ dd&quot;, &quot;yyyy"/>
    <numFmt numFmtId="167" formatCode="_(* #,##0.00_);_(* \(#,##0.00\);_(* \-??_);_(@_)"/>
    <numFmt numFmtId="168" formatCode="&quot;R$ &quot;#,##0.00_);&quot;(R$ &quot;#,##0.00\)"/>
    <numFmt numFmtId="169" formatCode="[$-416]General"/>
    <numFmt numFmtId="170" formatCode="[$-416]0%"/>
    <numFmt numFmtId="171" formatCode="#,##0.00&quot; &quot;;&quot; (&quot;#,##0.00&quot;)&quot;;&quot; -&quot;#&quot; &quot;;@&quot; &quot;"/>
    <numFmt numFmtId="172" formatCode="[$R$-416]&quot; &quot;#,##0.00;[Red]&quot;-&quot;[$R$-416]&quot; &quot;#,##0.00"/>
    <numFmt numFmtId="173" formatCode="&quot;R$&quot;\ #,##0.00"/>
    <numFmt numFmtId="174" formatCode="&quot;R$&quot;#,##0.00"/>
    <numFmt numFmtId="175" formatCode="_(&quot;R$ &quot;* #,##0.00_);_(&quot;R$ &quot;* \(#,##0.00\);_(&quot;R$ &quot;* \-??_);_(@_)"/>
    <numFmt numFmtId="176" formatCode="_-[$R$-416]\ * #,##0.00_-;\-[$R$-416]\ * #,##0.00_-;_-[$R$-416]\ * &quot;-&quot;??_-;_-@_-"/>
  </numFmts>
  <fonts count="70">
    <font>
      <sz val="11"/>
      <color rgb="FF000000"/>
      <name val="Calibri"/>
      <family val="2"/>
      <charset val="1"/>
    </font>
    <font>
      <b/>
      <sz val="8"/>
      <color rgb="FFFF0000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C00000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indexed="8"/>
      <name val="Arial"/>
      <family val="2"/>
    </font>
    <font>
      <sz val="9"/>
      <color theme="0" tint="-0.499984740745262"/>
      <name val="Arial"/>
      <family val="2"/>
    </font>
    <font>
      <b/>
      <sz val="10"/>
      <color rgb="FFFF0000"/>
      <name val="Calibri"/>
      <family val="2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FF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theme="0"/>
      <name val="Calibri"/>
      <family val="2"/>
      <charset val="1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1"/>
    </font>
    <font>
      <i/>
      <sz val="10"/>
      <name val="Calibri"/>
      <family val="2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i/>
      <sz val="9"/>
      <name val="Calibri"/>
      <family val="2"/>
    </font>
    <font>
      <b/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.5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81"/>
      <name val="Segoe UI"/>
      <family val="2"/>
    </font>
    <font>
      <b/>
      <i/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rgb="FF808080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6" tint="0.79998168889431442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969696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2" fillId="0" borderId="0" applyBorder="0" applyProtection="0"/>
    <xf numFmtId="0" fontId="2" fillId="0" borderId="0" applyBorder="0" applyProtection="0"/>
    <xf numFmtId="9" fontId="2" fillId="0" borderId="0" applyBorder="0" applyProtection="0"/>
    <xf numFmtId="0" fontId="3" fillId="0" borderId="0"/>
    <xf numFmtId="0" fontId="12" fillId="0" borderId="0"/>
    <xf numFmtId="171" fontId="8" fillId="0" borderId="0" applyBorder="0" applyProtection="0"/>
    <xf numFmtId="169" fontId="8" fillId="0" borderId="0" applyBorder="0" applyProtection="0"/>
    <xf numFmtId="169" fontId="8" fillId="0" borderId="0" applyBorder="0" applyProtection="0"/>
    <xf numFmtId="170" fontId="8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169" fontId="8" fillId="0" borderId="0" applyBorder="0" applyProtection="0"/>
    <xf numFmtId="0" fontId="14" fillId="0" borderId="0" applyNumberFormat="0" applyBorder="0" applyProtection="0"/>
    <xf numFmtId="172" fontId="14" fillId="0" borderId="0" applyBorder="0" applyProtection="0"/>
    <xf numFmtId="0" fontId="3" fillId="0" borderId="0"/>
    <xf numFmtId="22" fontId="3" fillId="0" borderId="0" applyFill="0" applyBorder="0" applyAlignment="0" applyProtection="0"/>
  </cellStyleXfs>
  <cellXfs count="645">
    <xf numFmtId="0" fontId="0" fillId="0" borderId="0" xfId="0"/>
    <xf numFmtId="0" fontId="15" fillId="0" borderId="0" xfId="0" applyFont="1"/>
    <xf numFmtId="0" fontId="15" fillId="0" borderId="1" xfId="0" applyFont="1" applyBorder="1"/>
    <xf numFmtId="0" fontId="19" fillId="0" borderId="0" xfId="0" applyFont="1"/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0" fontId="19" fillId="0" borderId="0" xfId="3" applyNumberFormat="1" applyFont="1" applyBorder="1" applyAlignment="1" applyProtection="1">
      <protection locked="0"/>
    </xf>
    <xf numFmtId="0" fontId="19" fillId="0" borderId="0" xfId="0" applyFont="1" applyProtection="1">
      <protection locked="0"/>
    </xf>
    <xf numFmtId="8" fontId="19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0" fontId="29" fillId="0" borderId="0" xfId="0" applyFont="1"/>
    <xf numFmtId="0" fontId="29" fillId="0" borderId="0" xfId="0" applyFont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43" fontId="31" fillId="0" borderId="0" xfId="0" applyNumberFormat="1" applyFont="1" applyAlignment="1">
      <alignment vertical="center"/>
    </xf>
    <xf numFmtId="43" fontId="3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/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Fill="1"/>
    <xf numFmtId="168" fontId="19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Fill="1"/>
    <xf numFmtId="0" fontId="36" fillId="0" borderId="0" xfId="0" applyFont="1" applyFill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168" fontId="20" fillId="5" borderId="7" xfId="0" applyNumberFormat="1" applyFont="1" applyFill="1" applyBorder="1" applyAlignment="1" applyProtection="1">
      <alignment vertical="center"/>
    </xf>
    <xf numFmtId="0" fontId="20" fillId="9" borderId="7" xfId="0" applyFont="1" applyFill="1" applyBorder="1" applyAlignment="1" applyProtection="1">
      <alignment vertical="center"/>
    </xf>
    <xf numFmtId="0" fontId="20" fillId="14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7" fillId="15" borderId="7" xfId="0" applyFont="1" applyFill="1" applyBorder="1" applyAlignment="1" applyProtection="1">
      <alignment horizontal="center" vertical="center"/>
      <protection locked="0"/>
    </xf>
    <xf numFmtId="10" fontId="19" fillId="0" borderId="0" xfId="0" applyNumberFormat="1" applyFont="1" applyFill="1" applyBorder="1" applyProtection="1">
      <protection locked="0"/>
    </xf>
    <xf numFmtId="2" fontId="27" fillId="0" borderId="7" xfId="0" applyNumberFormat="1" applyFont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 applyProtection="1">
      <alignment horizontal="center"/>
    </xf>
    <xf numFmtId="0" fontId="26" fillId="0" borderId="7" xfId="0" applyFont="1" applyBorder="1" applyAlignment="1" applyProtection="1">
      <alignment horizontal="center" vertical="center"/>
    </xf>
    <xf numFmtId="44" fontId="33" fillId="0" borderId="7" xfId="0" applyNumberFormat="1" applyFont="1" applyBorder="1" applyAlignment="1" applyProtection="1">
      <alignment vertical="center"/>
      <protection locked="0"/>
    </xf>
    <xf numFmtId="44" fontId="20" fillId="16" borderId="7" xfId="0" applyNumberFormat="1" applyFont="1" applyFill="1" applyBorder="1" applyAlignment="1" applyProtection="1">
      <alignment horizontal="distributed" vertical="center"/>
    </xf>
    <xf numFmtId="165" fontId="5" fillId="2" borderId="7" xfId="2" applyNumberFormat="1" applyFont="1" applyFill="1" applyBorder="1" applyProtection="1"/>
    <xf numFmtId="165" fontId="5" fillId="6" borderId="7" xfId="2" applyNumberFormat="1" applyFont="1" applyFill="1" applyBorder="1" applyProtection="1"/>
    <xf numFmtId="168" fontId="6" fillId="0" borderId="7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</xf>
    <xf numFmtId="165" fontId="6" fillId="15" borderId="7" xfId="0" applyNumberFormat="1" applyFont="1" applyFill="1" applyBorder="1" applyAlignment="1" applyProtection="1">
      <alignment horizontal="center" vertical="center"/>
    </xf>
    <xf numFmtId="165" fontId="6" fillId="2" borderId="7" xfId="0" applyNumberFormat="1" applyFont="1" applyFill="1" applyBorder="1" applyAlignment="1" applyProtection="1">
      <alignment horizontal="center" vertical="center"/>
    </xf>
    <xf numFmtId="0" fontId="20" fillId="13" borderId="7" xfId="0" applyFont="1" applyFill="1" applyBorder="1" applyAlignment="1" applyProtection="1">
      <alignment horizontal="center" vertical="center"/>
    </xf>
    <xf numFmtId="165" fontId="20" fillId="15" borderId="7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>
      <alignment horizontal="center"/>
    </xf>
    <xf numFmtId="44" fontId="26" fillId="2" borderId="7" xfId="0" applyNumberFormat="1" applyFont="1" applyFill="1" applyBorder="1" applyAlignment="1">
      <alignment horizontal="center"/>
    </xf>
    <xf numFmtId="44" fontId="26" fillId="6" borderId="7" xfId="0" applyNumberFormat="1" applyFont="1" applyFill="1" applyBorder="1" applyProtection="1"/>
    <xf numFmtId="0" fontId="28" fillId="0" borderId="7" xfId="0" applyFont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 vertical="center"/>
    </xf>
    <xf numFmtId="0" fontId="10" fillId="0" borderId="7" xfId="15" applyFont="1" applyFill="1" applyBorder="1" applyAlignment="1" applyProtection="1">
      <alignment horizontal="justify" vertical="center" wrapText="1"/>
    </xf>
    <xf numFmtId="1" fontId="10" fillId="0" borderId="7" xfId="15" applyNumberFormat="1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horizontal="center" vertical="center"/>
      <protection locked="0"/>
    </xf>
    <xf numFmtId="1" fontId="10" fillId="0" borderId="7" xfId="15" applyNumberFormat="1" applyFont="1" applyBorder="1" applyAlignment="1" applyProtection="1">
      <alignment horizontal="center" vertical="center"/>
    </xf>
    <xf numFmtId="0" fontId="10" fillId="0" borderId="7" xfId="15" applyNumberFormat="1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horizontal="center" vertical="center"/>
    </xf>
    <xf numFmtId="0" fontId="10" fillId="0" borderId="7" xfId="15" applyFont="1" applyFill="1" applyBorder="1" applyAlignment="1" applyProtection="1">
      <alignment horizontal="justify" vertical="center"/>
    </xf>
    <xf numFmtId="0" fontId="10" fillId="0" borderId="7" xfId="15" applyFont="1" applyFill="1" applyBorder="1" applyAlignment="1" applyProtection="1">
      <alignment horizontal="center" vertical="center"/>
    </xf>
    <xf numFmtId="175" fontId="10" fillId="0" borderId="7" xfId="16" applyNumberFormat="1" applyFont="1" applyFill="1" applyBorder="1" applyAlignment="1" applyProtection="1">
      <alignment vertical="center"/>
      <protection locked="0"/>
    </xf>
    <xf numFmtId="175" fontId="11" fillId="18" borderId="7" xfId="16" applyNumberFormat="1" applyFont="1" applyFill="1" applyBorder="1" applyAlignment="1" applyProtection="1">
      <alignment horizontal="center" vertical="center"/>
    </xf>
    <xf numFmtId="175" fontId="11" fillId="19" borderId="7" xfId="16" applyNumberFormat="1" applyFont="1" applyFill="1" applyBorder="1" applyAlignment="1" applyProtection="1">
      <alignment horizontal="center" vertical="center"/>
    </xf>
    <xf numFmtId="1" fontId="18" fillId="0" borderId="7" xfId="15" applyNumberFormat="1" applyFont="1" applyFill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protection locked="0"/>
    </xf>
    <xf numFmtId="1" fontId="18" fillId="0" borderId="7" xfId="15" applyNumberFormat="1" applyFont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alignment horizontal="center" vertical="center"/>
    </xf>
    <xf numFmtId="175" fontId="18" fillId="0" borderId="7" xfId="16" applyNumberFormat="1" applyFont="1" applyFill="1" applyBorder="1" applyAlignment="1" applyProtection="1">
      <alignment horizontal="center" vertical="center"/>
      <protection locked="0"/>
    </xf>
    <xf numFmtId="175" fontId="18" fillId="0" borderId="7" xfId="16" applyNumberFormat="1" applyFont="1" applyFill="1" applyBorder="1" applyAlignment="1" applyProtection="1">
      <alignment vertical="center"/>
      <protection locked="0"/>
    </xf>
    <xf numFmtId="165" fontId="2" fillId="0" borderId="7" xfId="2" applyNumberFormat="1" applyBorder="1" applyProtection="1"/>
    <xf numFmtId="1" fontId="18" fillId="0" borderId="7" xfId="15" applyNumberFormat="1" applyFont="1" applyFill="1" applyBorder="1" applyAlignment="1" applyProtection="1">
      <alignment horizontal="center" vertical="center" wrapText="1"/>
    </xf>
    <xf numFmtId="0" fontId="38" fillId="0" borderId="7" xfId="0" applyFont="1" applyFill="1" applyBorder="1" applyAlignment="1">
      <alignment horizontal="center" wrapTex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0" fontId="38" fillId="0" borderId="7" xfId="15" applyFont="1" applyFill="1" applyBorder="1" applyAlignment="1" applyProtection="1">
      <alignment horizontal="center" vertical="center" wrapText="1"/>
    </xf>
    <xf numFmtId="0" fontId="38" fillId="0" borderId="7" xfId="15" applyFont="1" applyFill="1" applyBorder="1" applyAlignment="1" applyProtection="1">
      <alignment horizontal="center" vertical="center"/>
    </xf>
    <xf numFmtId="0" fontId="38" fillId="0" borderId="7" xfId="15" applyFont="1" applyFill="1" applyBorder="1" applyAlignment="1" applyProtection="1">
      <alignment horizontal="center"/>
    </xf>
    <xf numFmtId="0" fontId="56" fillId="0" borderId="7" xfId="15" applyFont="1" applyFill="1" applyBorder="1" applyAlignment="1" applyProtection="1">
      <alignment horizontal="justify" vertical="center" wrapText="1"/>
    </xf>
    <xf numFmtId="0" fontId="56" fillId="0" borderId="7" xfId="15" applyFont="1" applyFill="1" applyBorder="1" applyAlignment="1" applyProtection="1">
      <alignment horizontal="left" wrapText="1"/>
    </xf>
    <xf numFmtId="0" fontId="56" fillId="0" borderId="7" xfId="15" applyFont="1" applyFill="1" applyBorder="1" applyProtection="1"/>
    <xf numFmtId="0" fontId="56" fillId="0" borderId="7" xfId="15" applyFont="1" applyFill="1" applyBorder="1" applyAlignment="1" applyProtection="1">
      <alignment vertical="center" wrapText="1"/>
    </xf>
    <xf numFmtId="0" fontId="56" fillId="0" borderId="7" xfId="15" applyFont="1" applyFill="1" applyBorder="1" applyAlignment="1" applyProtection="1">
      <alignment horizontal="left" vertical="center" wrapText="1" readingOrder="1"/>
    </xf>
    <xf numFmtId="0" fontId="26" fillId="14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44" fontId="31" fillId="0" borderId="7" xfId="0" applyNumberFormat="1" applyFont="1" applyFill="1" applyBorder="1" applyAlignment="1" applyProtection="1">
      <alignment vertical="center"/>
    </xf>
    <xf numFmtId="0" fontId="26" fillId="14" borderId="7" xfId="0" applyFont="1" applyFill="1" applyBorder="1" applyAlignment="1" applyProtection="1">
      <alignment horizontal="center" vertical="center"/>
    </xf>
    <xf numFmtId="44" fontId="26" fillId="2" borderId="7" xfId="0" applyNumberFormat="1" applyFont="1" applyFill="1" applyBorder="1" applyAlignment="1">
      <alignment horizontal="center" vertical="center"/>
    </xf>
    <xf numFmtId="0" fontId="26" fillId="15" borderId="7" xfId="0" applyFont="1" applyFill="1" applyBorder="1" applyAlignment="1" applyProtection="1">
      <alignment horizontal="center" vertical="center"/>
    </xf>
    <xf numFmtId="10" fontId="25" fillId="15" borderId="7" xfId="0" applyNumberFormat="1" applyFont="1" applyFill="1" applyBorder="1" applyAlignment="1">
      <alignment horizontal="center" vertical="center"/>
    </xf>
    <xf numFmtId="44" fontId="31" fillId="0" borderId="7" xfId="0" applyNumberFormat="1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vertical="center"/>
    </xf>
    <xf numFmtId="10" fontId="11" fillId="0" borderId="7" xfId="3" applyNumberFormat="1" applyFont="1" applyBorder="1" applyAlignment="1">
      <alignment horizontal="center" vertical="center"/>
    </xf>
    <xf numFmtId="165" fontId="26" fillId="15" borderId="7" xfId="0" applyNumberFormat="1" applyFont="1" applyFill="1" applyBorder="1" applyAlignment="1">
      <alignment vertical="center"/>
    </xf>
    <xf numFmtId="165" fontId="26" fillId="6" borderId="7" xfId="0" applyNumberFormat="1" applyFont="1" applyFill="1" applyBorder="1" applyAlignment="1" applyProtection="1">
      <alignment vertical="center"/>
    </xf>
    <xf numFmtId="44" fontId="26" fillId="15" borderId="7" xfId="0" applyNumberFormat="1" applyFont="1" applyFill="1" applyBorder="1" applyAlignment="1" applyProtection="1">
      <alignment horizontal="center" vertical="center"/>
    </xf>
    <xf numFmtId="4" fontId="7" fillId="6" borderId="7" xfId="0" applyNumberFormat="1" applyFont="1" applyFill="1" applyBorder="1" applyAlignment="1" applyProtection="1">
      <alignment horizontal="right" vertical="center"/>
    </xf>
    <xf numFmtId="168" fontId="27" fillId="0" borderId="7" xfId="0" applyNumberFormat="1" applyFont="1" applyFill="1" applyBorder="1" applyAlignment="1" applyProtection="1">
      <alignment horizontal="distributed" vertical="distributed" wrapText="1"/>
      <protection locked="0"/>
    </xf>
    <xf numFmtId="44" fontId="19" fillId="0" borderId="7" xfId="0" applyNumberFormat="1" applyFont="1" applyFill="1" applyBorder="1" applyAlignment="1" applyProtection="1">
      <alignment horizontal="right" vertical="center"/>
    </xf>
    <xf numFmtId="44" fontId="38" fillId="0" borderId="7" xfId="0" applyNumberFormat="1" applyFont="1" applyFill="1" applyBorder="1" applyAlignment="1" applyProtection="1">
      <alignment horizontal="right" vertical="center"/>
    </xf>
    <xf numFmtId="44" fontId="31" fillId="0" borderId="7" xfId="0" applyNumberFormat="1" applyFont="1" applyFill="1" applyBorder="1" applyAlignment="1"/>
    <xf numFmtId="44" fontId="31" fillId="0" borderId="7" xfId="0" applyNumberFormat="1" applyFont="1" applyFill="1" applyBorder="1" applyAlignment="1" applyProtection="1">
      <alignment horizontal="right" vertical="center"/>
    </xf>
    <xf numFmtId="44" fontId="19" fillId="0" borderId="7" xfId="0" applyNumberFormat="1" applyFont="1" applyFill="1" applyBorder="1" applyAlignment="1">
      <alignment vertical="center"/>
    </xf>
    <xf numFmtId="0" fontId="26" fillId="0" borderId="7" xfId="0" applyFont="1" applyBorder="1" applyAlignment="1" applyProtection="1">
      <alignment horizontal="center" wrapText="1"/>
    </xf>
    <xf numFmtId="168" fontId="26" fillId="2" borderId="7" xfId="0" applyNumberFormat="1" applyFont="1" applyFill="1" applyBorder="1" applyAlignment="1" applyProtection="1">
      <alignment vertical="center"/>
    </xf>
    <xf numFmtId="168" fontId="31" fillId="0" borderId="7" xfId="0" applyNumberFormat="1" applyFont="1" applyFill="1" applyBorder="1" applyAlignment="1" applyProtection="1">
      <alignment vertical="center"/>
    </xf>
    <xf numFmtId="44" fontId="33" fillId="0" borderId="7" xfId="0" applyNumberFormat="1" applyFont="1" applyFill="1" applyBorder="1" applyAlignment="1" applyProtection="1">
      <alignment vertical="center"/>
      <protection locked="0"/>
    </xf>
    <xf numFmtId="0" fontId="11" fillId="15" borderId="7" xfId="0" applyFont="1" applyFill="1" applyBorder="1" applyAlignment="1" applyProtection="1">
      <alignment horizontal="center" vertical="center"/>
      <protection locked="0"/>
    </xf>
    <xf numFmtId="10" fontId="11" fillId="0" borderId="7" xfId="3" applyNumberFormat="1" applyFont="1" applyBorder="1" applyAlignment="1" applyProtection="1">
      <alignment vertical="center"/>
      <protection locked="0"/>
    </xf>
    <xf numFmtId="0" fontId="29" fillId="0" borderId="0" xfId="0" applyFont="1" applyFill="1"/>
    <xf numFmtId="0" fontId="27" fillId="0" borderId="0" xfId="0" applyFont="1" applyFill="1"/>
    <xf numFmtId="0" fontId="10" fillId="0" borderId="7" xfId="0" applyFont="1" applyFill="1" applyBorder="1" applyAlignment="1" applyProtection="1">
      <alignment horizontal="right" wrapText="1"/>
    </xf>
    <xf numFmtId="164" fontId="38" fillId="0" borderId="7" xfId="0" applyNumberFormat="1" applyFont="1" applyFill="1" applyBorder="1" applyAlignment="1" applyProtection="1">
      <alignment horizontal="right" vertical="center"/>
    </xf>
    <xf numFmtId="0" fontId="0" fillId="0" borderId="8" xfId="0" applyBorder="1"/>
    <xf numFmtId="0" fontId="44" fillId="4" borderId="7" xfId="0" applyFont="1" applyFill="1" applyBorder="1" applyAlignment="1" applyProtection="1">
      <alignment horizontal="center" vertical="center"/>
    </xf>
    <xf numFmtId="0" fontId="47" fillId="4" borderId="7" xfId="0" applyFont="1" applyFill="1" applyBorder="1" applyAlignment="1" applyProtection="1">
      <alignment horizontal="center" vertical="center"/>
    </xf>
    <xf numFmtId="0" fontId="34" fillId="4" borderId="7" xfId="0" applyFont="1" applyFill="1" applyBorder="1" applyAlignment="1" applyProtection="1">
      <alignment horizontal="center" vertical="center"/>
    </xf>
    <xf numFmtId="0" fontId="47" fillId="4" borderId="7" xfId="0" applyFont="1" applyFill="1" applyBorder="1" applyAlignment="1" applyProtection="1">
      <alignment horizontal="center" vertical="center" wrapText="1"/>
    </xf>
    <xf numFmtId="0" fontId="44" fillId="4" borderId="7" xfId="0" applyFont="1" applyFill="1" applyBorder="1" applyAlignment="1" applyProtection="1">
      <alignment horizontal="center"/>
    </xf>
    <xf numFmtId="1" fontId="38" fillId="0" borderId="7" xfId="0" applyNumberFormat="1" applyFont="1" applyFill="1" applyBorder="1" applyAlignment="1" applyProtection="1">
      <alignment horizontal="right" vertical="center"/>
    </xf>
    <xf numFmtId="0" fontId="68" fillId="0" borderId="0" xfId="0" applyFont="1"/>
    <xf numFmtId="0" fontId="61" fillId="0" borderId="5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173" fontId="27" fillId="0" borderId="0" xfId="2" applyNumberFormat="1" applyFont="1" applyBorder="1" applyAlignment="1">
      <alignment vertical="center"/>
    </xf>
    <xf numFmtId="173" fontId="27" fillId="0" borderId="6" xfId="2" applyNumberFormat="1" applyFont="1" applyBorder="1" applyAlignment="1">
      <alignment vertical="center"/>
    </xf>
    <xf numFmtId="173" fontId="61" fillId="15" borderId="7" xfId="2" applyNumberFormat="1" applyFont="1" applyFill="1" applyBorder="1" applyAlignment="1">
      <alignment horizontal="center" vertical="center"/>
    </xf>
    <xf numFmtId="173" fontId="62" fillId="0" borderId="7" xfId="2" applyNumberFormat="1" applyFont="1" applyBorder="1" applyAlignment="1">
      <alignment vertical="center"/>
    </xf>
    <xf numFmtId="0" fontId="61" fillId="0" borderId="7" xfId="0" applyFont="1" applyBorder="1" applyAlignment="1">
      <alignment horizontal="center" vertical="center"/>
    </xf>
    <xf numFmtId="173" fontId="61" fillId="15" borderId="7" xfId="2" applyNumberFormat="1" applyFont="1" applyFill="1" applyBorder="1" applyAlignment="1">
      <alignment horizontal="right" vertical="center"/>
    </xf>
    <xf numFmtId="1" fontId="62" fillId="0" borderId="7" xfId="2" applyNumberFormat="1" applyFont="1" applyBorder="1" applyAlignment="1">
      <alignment vertical="center"/>
    </xf>
    <xf numFmtId="173" fontId="61" fillId="15" borderId="7" xfId="2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173" fontId="27" fillId="0" borderId="0" xfId="2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2" fillId="0" borderId="0" xfId="0" applyFont="1"/>
    <xf numFmtId="0" fontId="0" fillId="0" borderId="0" xfId="0" applyFill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0" fillId="0" borderId="7" xfId="0" applyFont="1" applyBorder="1"/>
    <xf numFmtId="0" fontId="20" fillId="12" borderId="7" xfId="0" applyFont="1" applyFill="1" applyBorder="1" applyAlignment="1">
      <alignment horizontal="right"/>
    </xf>
    <xf numFmtId="10" fontId="19" fillId="0" borderId="0" xfId="3" applyNumberFormat="1" applyFont="1" applyBorder="1" applyProtection="1">
      <protection locked="0"/>
    </xf>
    <xf numFmtId="0" fontId="10" fillId="0" borderId="7" xfId="0" applyFont="1" applyBorder="1" applyAlignment="1">
      <alignment horizontal="right" wrapText="1"/>
    </xf>
    <xf numFmtId="0" fontId="26" fillId="0" borderId="7" xfId="0" applyFont="1" applyBorder="1" applyAlignment="1">
      <alignment horizontal="center" wrapText="1"/>
    </xf>
    <xf numFmtId="164" fontId="38" fillId="0" borderId="7" xfId="0" applyNumberFormat="1" applyFont="1" applyBorder="1" applyAlignment="1">
      <alignment horizontal="right" vertical="center"/>
    </xf>
    <xf numFmtId="0" fontId="39" fillId="0" borderId="7" xfId="0" applyFont="1" applyBorder="1" applyAlignment="1">
      <alignment horizontal="center" wrapText="1"/>
    </xf>
    <xf numFmtId="1" fontId="38" fillId="0" borderId="7" xfId="0" applyNumberFormat="1" applyFont="1" applyBorder="1" applyAlignment="1">
      <alignment horizontal="right" vertical="center"/>
    </xf>
    <xf numFmtId="0" fontId="44" fillId="4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168" fontId="27" fillId="0" borderId="7" xfId="0" applyNumberFormat="1" applyFont="1" applyBorder="1" applyAlignment="1" applyProtection="1">
      <alignment horizontal="distributed" vertical="distributed" wrapText="1"/>
      <protection locked="0"/>
    </xf>
    <xf numFmtId="168" fontId="20" fillId="5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168" fontId="20" fillId="0" borderId="7" xfId="0" applyNumberFormat="1" applyFont="1" applyBorder="1" applyAlignment="1">
      <alignment vertical="center"/>
    </xf>
    <xf numFmtId="168" fontId="26" fillId="2" borderId="7" xfId="0" applyNumberFormat="1" applyFont="1" applyFill="1" applyBorder="1" applyAlignment="1">
      <alignment vertical="center"/>
    </xf>
    <xf numFmtId="173" fontId="26" fillId="2" borderId="7" xfId="0" applyNumberFormat="1" applyFont="1" applyFill="1" applyBorder="1" applyAlignment="1">
      <alignment vertical="center"/>
    </xf>
    <xf numFmtId="0" fontId="20" fillId="14" borderId="7" xfId="0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0" fontId="19" fillId="0" borderId="0" xfId="0" applyNumberFormat="1" applyFont="1" applyProtection="1">
      <protection locked="0"/>
    </xf>
    <xf numFmtId="0" fontId="48" fillId="4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/>
    </xf>
    <xf numFmtId="0" fontId="20" fillId="17" borderId="7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44" fontId="20" fillId="16" borderId="7" xfId="0" applyNumberFormat="1" applyFont="1" applyFill="1" applyBorder="1" applyAlignment="1">
      <alignment horizontal="distributed" vertical="center"/>
    </xf>
    <xf numFmtId="0" fontId="34" fillId="4" borderId="7" xfId="0" applyFont="1" applyFill="1" applyBorder="1" applyAlignment="1">
      <alignment horizontal="center"/>
    </xf>
    <xf numFmtId="44" fontId="31" fillId="0" borderId="7" xfId="0" applyNumberFormat="1" applyFont="1" applyBorder="1" applyAlignment="1">
      <alignment vertical="center"/>
    </xf>
    <xf numFmtId="168" fontId="19" fillId="0" borderId="0" xfId="0" applyNumberFormat="1" applyFont="1" applyProtection="1">
      <protection locked="0"/>
    </xf>
    <xf numFmtId="0" fontId="36" fillId="0" borderId="0" xfId="0" applyFont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15" borderId="7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0" fontId="20" fillId="13" borderId="7" xfId="0" applyFont="1" applyFill="1" applyBorder="1" applyAlignment="1">
      <alignment horizontal="center" vertical="center"/>
    </xf>
    <xf numFmtId="44" fontId="19" fillId="0" borderId="7" xfId="0" applyNumberFormat="1" applyFont="1" applyBorder="1" applyAlignment="1">
      <alignment horizontal="right" vertical="center"/>
    </xf>
    <xf numFmtId="0" fontId="37" fillId="0" borderId="0" xfId="0" applyFont="1" applyAlignment="1" applyProtection="1">
      <alignment horizontal="center" vertical="center"/>
      <protection locked="0"/>
    </xf>
    <xf numFmtId="44" fontId="38" fillId="0" borderId="7" xfId="0" applyNumberFormat="1" applyFont="1" applyBorder="1" applyAlignment="1">
      <alignment horizontal="right" vertical="center"/>
    </xf>
    <xf numFmtId="0" fontId="31" fillId="0" borderId="0" xfId="0" applyFont="1"/>
    <xf numFmtId="0" fontId="31" fillId="0" borderId="0" xfId="0" applyFont="1" applyProtection="1">
      <protection locked="0"/>
    </xf>
    <xf numFmtId="165" fontId="20" fillId="15" borderId="7" xfId="0" applyNumberFormat="1" applyFont="1" applyFill="1" applyBorder="1" applyAlignment="1">
      <alignment horizontal="right" vertical="center"/>
    </xf>
    <xf numFmtId="44" fontId="26" fillId="6" borderId="7" xfId="0" applyNumberFormat="1" applyFont="1" applyFill="1" applyBorder="1"/>
    <xf numFmtId="0" fontId="45" fillId="4" borderId="7" xfId="0" applyFont="1" applyFill="1" applyBorder="1" applyAlignment="1">
      <alignment horizontal="center" vertical="center"/>
    </xf>
    <xf numFmtId="0" fontId="26" fillId="14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44" fontId="31" fillId="0" borderId="7" xfId="0" applyNumberFormat="1" applyFont="1" applyBorder="1"/>
    <xf numFmtId="44" fontId="31" fillId="0" borderId="7" xfId="0" applyNumberFormat="1" applyFont="1" applyBorder="1" applyAlignment="1">
      <alignment horizontal="right" vertical="center"/>
    </xf>
    <xf numFmtId="0" fontId="26" fillId="14" borderId="7" xfId="0" applyFont="1" applyFill="1" applyBorder="1" applyAlignment="1">
      <alignment horizontal="center" vertical="center"/>
    </xf>
    <xf numFmtId="44" fontId="31" fillId="0" borderId="7" xfId="0" applyNumberFormat="1" applyFont="1" applyBorder="1" applyAlignment="1">
      <alignment horizontal="center" vertical="center"/>
    </xf>
    <xf numFmtId="0" fontId="26" fillId="15" borderId="7" xfId="0" applyFont="1" applyFill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/>
    </xf>
    <xf numFmtId="165" fontId="26" fillId="6" borderId="7" xfId="0" applyNumberFormat="1" applyFont="1" applyFill="1" applyBorder="1" applyAlignment="1">
      <alignment vertical="center"/>
    </xf>
    <xf numFmtId="0" fontId="34" fillId="4" borderId="7" xfId="0" applyFont="1" applyFill="1" applyBorder="1" applyAlignment="1">
      <alignment horizontal="center" vertical="center"/>
    </xf>
    <xf numFmtId="44" fontId="26" fillId="15" borderId="7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168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 wrapText="1"/>
    </xf>
    <xf numFmtId="10" fontId="25" fillId="23" borderId="7" xfId="0" applyNumberFormat="1" applyFont="1" applyFill="1" applyBorder="1" applyAlignment="1">
      <alignment horizontal="center" vertical="center"/>
    </xf>
    <xf numFmtId="10" fontId="11" fillId="23" borderId="7" xfId="3" applyNumberFormat="1" applyFont="1" applyFill="1" applyBorder="1" applyAlignment="1">
      <alignment horizontal="center" vertical="center"/>
    </xf>
    <xf numFmtId="0" fontId="56" fillId="0" borderId="7" xfId="15" applyFont="1" applyFill="1" applyBorder="1" applyAlignment="1" applyProtection="1">
      <alignment wrapText="1"/>
    </xf>
    <xf numFmtId="0" fontId="20" fillId="0" borderId="7" xfId="0" applyFont="1" applyBorder="1" applyAlignment="1">
      <alignment horizontal="left"/>
    </xf>
    <xf numFmtId="0" fontId="20" fillId="7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0" fillId="9" borderId="7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left" vertical="center"/>
    </xf>
    <xf numFmtId="0" fontId="20" fillId="17" borderId="7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 vertical="center"/>
    </xf>
    <xf numFmtId="0" fontId="6" fillId="15" borderId="7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horizontal="center" vertical="center"/>
    </xf>
    <xf numFmtId="0" fontId="11" fillId="15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1" fontId="9" fillId="23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right" vertical="center" wrapText="1"/>
      <protection locked="0"/>
    </xf>
    <xf numFmtId="8" fontId="39" fillId="0" borderId="7" xfId="1" applyNumberFormat="1" applyFont="1" applyBorder="1" applyAlignment="1" applyProtection="1">
      <alignment horizontal="right" vertical="center"/>
      <protection locked="0"/>
    </xf>
    <xf numFmtId="0" fontId="38" fillId="0" borderId="7" xfId="0" applyFont="1" applyBorder="1" applyAlignment="1" applyProtection="1">
      <alignment horizontal="right" vertical="center"/>
      <protection locked="0"/>
    </xf>
    <xf numFmtId="0" fontId="44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168" fontId="27" fillId="0" borderId="7" xfId="0" applyNumberFormat="1" applyFont="1" applyFill="1" applyBorder="1" applyAlignment="1">
      <alignment horizontal="distributed" vertical="distributed" wrapText="1"/>
    </xf>
    <xf numFmtId="168" fontId="27" fillId="0" borderId="7" xfId="0" applyNumberFormat="1" applyFont="1" applyBorder="1" applyAlignment="1">
      <alignment horizontal="distributed" vertical="distributed" wrapText="1"/>
    </xf>
    <xf numFmtId="0" fontId="26" fillId="0" borderId="7" xfId="0" applyFont="1" applyBorder="1" applyAlignment="1">
      <alignment horizontal="right" vertical="center"/>
    </xf>
    <xf numFmtId="168" fontId="26" fillId="0" borderId="7" xfId="0" applyNumberFormat="1" applyFont="1" applyBorder="1" applyAlignment="1">
      <alignment vertical="center"/>
    </xf>
    <xf numFmtId="0" fontId="45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68" fontId="20" fillId="0" borderId="7" xfId="0" applyNumberFormat="1" applyFont="1" applyBorder="1" applyAlignment="1">
      <alignment horizontal="distributed" vertical="center"/>
    </xf>
    <xf numFmtId="44" fontId="27" fillId="0" borderId="7" xfId="0" applyNumberFormat="1" applyFont="1" applyBorder="1" applyAlignment="1">
      <alignment horizontal="right" vertical="center"/>
    </xf>
    <xf numFmtId="44" fontId="28" fillId="15" borderId="7" xfId="0" applyNumberFormat="1" applyFont="1" applyFill="1" applyBorder="1" applyAlignment="1">
      <alignment horizontal="right" vertical="center"/>
    </xf>
    <xf numFmtId="0" fontId="47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44" fontId="20" fillId="15" borderId="7" xfId="0" applyNumberFormat="1" applyFont="1" applyFill="1" applyBorder="1" applyAlignment="1">
      <alignment vertical="center"/>
    </xf>
    <xf numFmtId="0" fontId="48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left" vertical="center" wrapText="1"/>
    </xf>
    <xf numFmtId="0" fontId="26" fillId="15" borderId="7" xfId="0" applyFont="1" applyFill="1" applyBorder="1" applyAlignment="1">
      <alignment horizontal="center"/>
    </xf>
    <xf numFmtId="44" fontId="33" fillId="0" borderId="7" xfId="0" applyNumberFormat="1" applyFont="1" applyBorder="1" applyAlignment="1" applyProtection="1">
      <alignment horizontal="right" vertical="center"/>
      <protection locked="0"/>
    </xf>
    <xf numFmtId="0" fontId="34" fillId="0" borderId="7" xfId="0" applyFont="1" applyBorder="1" applyAlignment="1">
      <alignment horizontal="center"/>
    </xf>
    <xf numFmtId="0" fontId="49" fillId="0" borderId="7" xfId="0" applyFont="1" applyBorder="1" applyAlignment="1">
      <alignment horizontal="left"/>
    </xf>
    <xf numFmtId="0" fontId="19" fillId="0" borderId="7" xfId="0" applyFont="1" applyBorder="1"/>
    <xf numFmtId="0" fontId="23" fillId="0" borderId="7" xfId="0" applyFont="1" applyBorder="1" applyAlignment="1">
      <alignment horizontal="left"/>
    </xf>
    <xf numFmtId="0" fontId="20" fillId="0" borderId="7" xfId="0" applyFont="1" applyBorder="1" applyAlignment="1">
      <alignment horizontal="left" vertical="center" wrapText="1"/>
    </xf>
    <xf numFmtId="0" fontId="26" fillId="17" borderId="7" xfId="0" applyFont="1" applyFill="1" applyBorder="1" applyAlignment="1">
      <alignment horizontal="center" vertical="center"/>
    </xf>
    <xf numFmtId="165" fontId="5" fillId="0" borderId="7" xfId="2" applyNumberFormat="1" applyFont="1" applyBorder="1" applyProtection="1"/>
    <xf numFmtId="0" fontId="26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26" fillId="17" borderId="7" xfId="0" applyFont="1" applyFill="1" applyBorder="1" applyAlignment="1">
      <alignment horizontal="center"/>
    </xf>
    <xf numFmtId="168" fontId="26" fillId="15" borderId="7" xfId="0" applyNumberFormat="1" applyFont="1" applyFill="1" applyBorder="1" applyAlignment="1">
      <alignment horizontal="center" vertical="center"/>
    </xf>
    <xf numFmtId="168" fontId="19" fillId="0" borderId="7" xfId="0" applyNumberFormat="1" applyFont="1" applyBorder="1" applyAlignment="1">
      <alignment horizontal="distributed" vertical="center"/>
    </xf>
    <xf numFmtId="168" fontId="35" fillId="0" borderId="7" xfId="0" applyNumberFormat="1" applyFont="1" applyBorder="1" applyAlignment="1">
      <alignment horizontal="distributed" vertical="center"/>
    </xf>
    <xf numFmtId="44" fontId="31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44" fontId="20" fillId="0" borderId="7" xfId="0" applyNumberFormat="1" applyFont="1" applyBorder="1" applyAlignment="1">
      <alignment horizontal="right" vertical="center"/>
    </xf>
    <xf numFmtId="0" fontId="31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4" fontId="19" fillId="0" borderId="7" xfId="0" applyNumberFormat="1" applyFont="1" applyBorder="1" applyAlignment="1">
      <alignment horizontal="right"/>
    </xf>
    <xf numFmtId="0" fontId="58" fillId="4" borderId="7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right" vertical="center"/>
    </xf>
    <xf numFmtId="165" fontId="26" fillId="4" borderId="7" xfId="0" applyNumberFormat="1" applyFont="1" applyFill="1" applyBorder="1" applyAlignment="1">
      <alignment vertical="center"/>
    </xf>
    <xf numFmtId="0" fontId="58" fillId="4" borderId="7" xfId="0" applyFont="1" applyFill="1" applyBorder="1" applyAlignment="1">
      <alignment horizontal="left" vertical="center"/>
    </xf>
    <xf numFmtId="0" fontId="59" fillId="0" borderId="7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/>
    </xf>
    <xf numFmtId="0" fontId="58" fillId="0" borderId="7" xfId="0" applyFont="1" applyBorder="1" applyAlignment="1">
      <alignment horizontal="left"/>
    </xf>
    <xf numFmtId="0" fontId="20" fillId="0" borderId="7" xfId="0" applyFont="1" applyBorder="1" applyAlignment="1">
      <alignment horizontal="right" vertical="center"/>
    </xf>
    <xf numFmtId="165" fontId="26" fillId="0" borderId="7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4" fillId="0" borderId="7" xfId="0" applyFont="1" applyBorder="1" applyAlignment="1">
      <alignment horizontal="center"/>
    </xf>
    <xf numFmtId="44" fontId="31" fillId="15" borderId="7" xfId="0" applyNumberFormat="1" applyFont="1" applyFill="1" applyBorder="1" applyAlignment="1">
      <alignment horizontal="right" vertical="center"/>
    </xf>
    <xf numFmtId="0" fontId="20" fillId="0" borderId="7" xfId="0" applyFont="1" applyBorder="1" applyProtection="1"/>
    <xf numFmtId="0" fontId="20" fillId="12" borderId="7" xfId="0" applyFont="1" applyFill="1" applyBorder="1" applyAlignment="1" applyProtection="1">
      <alignment horizontal="right"/>
    </xf>
    <xf numFmtId="0" fontId="20" fillId="0" borderId="7" xfId="0" applyFont="1" applyBorder="1" applyAlignment="1" applyProtection="1">
      <alignment horizontal="left"/>
    </xf>
    <xf numFmtId="0" fontId="20" fillId="0" borderId="7" xfId="0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right" vertical="center" wrapText="1"/>
      <protection locked="0"/>
    </xf>
    <xf numFmtId="8" fontId="39" fillId="0" borderId="7" xfId="1" applyNumberFormat="1" applyFont="1" applyFill="1" applyBorder="1" applyAlignment="1" applyProtection="1">
      <alignment horizontal="right" vertical="center"/>
      <protection locked="0"/>
    </xf>
    <xf numFmtId="0" fontId="38" fillId="0" borderId="7" xfId="0" applyFont="1" applyFill="1" applyBorder="1" applyAlignment="1" applyProtection="1">
      <alignment horizontal="right" vertical="center"/>
      <protection locked="0"/>
    </xf>
    <xf numFmtId="0" fontId="44" fillId="0" borderId="7" xfId="0" applyFont="1" applyBorder="1" applyAlignment="1" applyProtection="1">
      <alignment horizontal="center" vertical="center"/>
    </xf>
    <xf numFmtId="0" fontId="46" fillId="0" borderId="7" xfId="0" applyFont="1" applyBorder="1" applyAlignment="1" applyProtection="1">
      <alignment horizontal="left" vertical="center"/>
    </xf>
    <xf numFmtId="0" fontId="41" fillId="0" borderId="7" xfId="0" applyFont="1" applyBorder="1" applyAlignment="1" applyProtection="1">
      <alignment horizontal="left" vertical="center"/>
    </xf>
    <xf numFmtId="0" fontId="20" fillId="16" borderId="7" xfId="0" applyFont="1" applyFill="1" applyBorder="1" applyAlignment="1" applyProtection="1">
      <alignment horizontal="center"/>
    </xf>
    <xf numFmtId="168" fontId="27" fillId="0" borderId="7" xfId="0" applyNumberFormat="1" applyFont="1" applyFill="1" applyBorder="1" applyAlignment="1" applyProtection="1">
      <alignment horizontal="distributed" vertical="distributed" wrapText="1"/>
    </xf>
    <xf numFmtId="0" fontId="28" fillId="0" borderId="7" xfId="0" applyFont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right" vertical="center"/>
    </xf>
    <xf numFmtId="168" fontId="26" fillId="0" borderId="7" xfId="0" applyNumberFormat="1" applyFont="1" applyFill="1" applyBorder="1" applyAlignment="1" applyProtection="1">
      <alignment vertical="center"/>
    </xf>
    <xf numFmtId="0" fontId="44" fillId="0" borderId="7" xfId="0" applyFont="1" applyFill="1" applyBorder="1" applyAlignment="1" applyProtection="1">
      <alignment horizontal="center" vertical="center"/>
    </xf>
    <xf numFmtId="0" fontId="45" fillId="0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/>
    </xf>
    <xf numFmtId="168" fontId="20" fillId="0" borderId="7" xfId="0" applyNumberFormat="1" applyFont="1" applyFill="1" applyBorder="1" applyAlignment="1" applyProtection="1">
      <alignment horizontal="distributed" vertical="center"/>
    </xf>
    <xf numFmtId="44" fontId="27" fillId="0" borderId="7" xfId="0" applyNumberFormat="1" applyFont="1" applyFill="1" applyBorder="1" applyAlignment="1">
      <alignment horizontal="right" vertical="center"/>
    </xf>
    <xf numFmtId="0" fontId="47" fillId="0" borderId="7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44" fontId="27" fillId="0" borderId="7" xfId="0" applyNumberFormat="1" applyFont="1" applyFill="1" applyBorder="1" applyAlignment="1" applyProtection="1">
      <alignment horizontal="right" vertical="center"/>
    </xf>
    <xf numFmtId="44" fontId="20" fillId="15" borderId="7" xfId="0" applyNumberFormat="1" applyFont="1" applyFill="1" applyBorder="1" applyAlignment="1" applyProtection="1">
      <alignment vertical="center"/>
    </xf>
    <xf numFmtId="0" fontId="48" fillId="0" borderId="7" xfId="0" applyFont="1" applyFill="1" applyBorder="1" applyAlignment="1" applyProtection="1">
      <alignment horizontal="center" vertical="center" wrapText="1"/>
    </xf>
    <xf numFmtId="0" fontId="42" fillId="0" borderId="7" xfId="0" applyFont="1" applyFill="1" applyBorder="1" applyAlignment="1" applyProtection="1">
      <alignment horizontal="left" vertical="center" wrapText="1"/>
    </xf>
    <xf numFmtId="0" fontId="26" fillId="10" borderId="7" xfId="0" applyFont="1" applyFill="1" applyBorder="1" applyAlignment="1">
      <alignment horizontal="center"/>
    </xf>
    <xf numFmtId="44" fontId="33" fillId="0" borderId="7" xfId="0" applyNumberFormat="1" applyFont="1" applyFill="1" applyBorder="1" applyAlignment="1" applyProtection="1">
      <alignment horizontal="right" vertical="center"/>
      <protection locked="0"/>
    </xf>
    <xf numFmtId="0" fontId="34" fillId="0" borderId="7" xfId="0" applyFont="1" applyBorder="1" applyAlignment="1" applyProtection="1">
      <alignment horizontal="center"/>
    </xf>
    <xf numFmtId="0" fontId="49" fillId="0" borderId="7" xfId="0" applyFont="1" applyBorder="1" applyAlignment="1" applyProtection="1">
      <alignment horizontal="left"/>
    </xf>
    <xf numFmtId="0" fontId="19" fillId="0" borderId="7" xfId="0" applyFont="1" applyBorder="1" applyProtection="1"/>
    <xf numFmtId="0" fontId="23" fillId="0" borderId="7" xfId="0" applyFont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 wrapText="1"/>
    </xf>
    <xf numFmtId="0" fontId="26" fillId="17" borderId="7" xfId="0" applyFont="1" applyFill="1" applyBorder="1" applyAlignment="1" applyProtection="1">
      <alignment horizontal="center" vertical="center"/>
    </xf>
    <xf numFmtId="165" fontId="5" fillId="0" borderId="7" xfId="2" applyNumberFormat="1" applyFont="1" applyFill="1" applyBorder="1" applyProtection="1"/>
    <xf numFmtId="0" fontId="26" fillId="0" borderId="7" xfId="0" applyFont="1" applyFill="1" applyBorder="1" applyAlignment="1" applyProtection="1">
      <alignment vertical="center"/>
    </xf>
    <xf numFmtId="0" fontId="31" fillId="0" borderId="7" xfId="0" applyFont="1" applyFill="1" applyBorder="1" applyAlignment="1">
      <alignment vertical="center"/>
    </xf>
    <xf numFmtId="0" fontId="20" fillId="0" borderId="7" xfId="0" applyFont="1" applyFill="1" applyBorder="1" applyAlignment="1" applyProtection="1">
      <alignment horizontal="center" vertical="center"/>
    </xf>
    <xf numFmtId="0" fontId="31" fillId="17" borderId="7" xfId="0" applyFont="1" applyFill="1" applyBorder="1" applyAlignment="1" applyProtection="1">
      <alignment horizontal="center"/>
    </xf>
    <xf numFmtId="168" fontId="26" fillId="15" borderId="7" xfId="0" applyNumberFormat="1" applyFont="1" applyFill="1" applyBorder="1" applyAlignment="1" applyProtection="1">
      <alignment horizontal="center" vertical="center"/>
    </xf>
    <xf numFmtId="168" fontId="19" fillId="0" borderId="7" xfId="0" applyNumberFormat="1" applyFont="1" applyFill="1" applyBorder="1" applyAlignment="1" applyProtection="1">
      <alignment horizontal="distributed" vertical="center"/>
    </xf>
    <xf numFmtId="168" fontId="35" fillId="0" borderId="7" xfId="0" applyNumberFormat="1" applyFont="1" applyFill="1" applyBorder="1" applyAlignment="1" applyProtection="1">
      <alignment horizontal="distributed" vertical="center"/>
    </xf>
    <xf numFmtId="44" fontId="31" fillId="0" borderId="7" xfId="0" applyNumberFormat="1" applyFont="1" applyFill="1" applyBorder="1" applyAlignment="1" applyProtection="1">
      <alignment vertical="center" wrapText="1"/>
    </xf>
    <xf numFmtId="0" fontId="19" fillId="0" borderId="7" xfId="0" applyFont="1" applyFill="1" applyBorder="1" applyProtection="1"/>
    <xf numFmtId="0" fontId="6" fillId="0" borderId="7" xfId="0" applyFont="1" applyFill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vertical="center"/>
    </xf>
    <xf numFmtId="44" fontId="20" fillId="0" borderId="7" xfId="0" applyNumberFormat="1" applyFont="1" applyFill="1" applyBorder="1" applyAlignment="1" applyProtection="1">
      <alignment horizontal="right" vertical="center"/>
    </xf>
    <xf numFmtId="0" fontId="31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4" fontId="19" fillId="0" borderId="7" xfId="0" applyNumberFormat="1" applyFont="1" applyFill="1" applyBorder="1" applyAlignment="1">
      <alignment horizontal="right"/>
    </xf>
    <xf numFmtId="0" fontId="58" fillId="4" borderId="7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right" vertical="center"/>
    </xf>
    <xf numFmtId="165" fontId="26" fillId="4" borderId="7" xfId="0" applyNumberFormat="1" applyFont="1" applyFill="1" applyBorder="1" applyAlignment="1" applyProtection="1">
      <alignment vertical="center"/>
    </xf>
    <xf numFmtId="0" fontId="58" fillId="4" borderId="7" xfId="0" applyFont="1" applyFill="1" applyBorder="1" applyAlignment="1" applyProtection="1">
      <alignment horizontal="left" vertical="center"/>
    </xf>
    <xf numFmtId="0" fontId="59" fillId="0" borderId="7" xfId="0" applyFont="1" applyBorder="1" applyAlignment="1" applyProtection="1">
      <alignment horizontal="center" vertical="center"/>
    </xf>
    <xf numFmtId="0" fontId="58" fillId="0" borderId="7" xfId="0" applyFont="1" applyBorder="1" applyAlignment="1" applyProtection="1">
      <alignment horizontal="center" vertical="center" wrapText="1"/>
    </xf>
    <xf numFmtId="0" fontId="58" fillId="0" borderId="7" xfId="0" applyFont="1" applyBorder="1" applyAlignment="1" applyProtection="1">
      <alignment horizontal="center" vertical="center"/>
    </xf>
    <xf numFmtId="0" fontId="58" fillId="0" borderId="7" xfId="0" applyFont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right" vertical="center"/>
    </xf>
    <xf numFmtId="165" fontId="26" fillId="0" borderId="7" xfId="0" applyNumberFormat="1" applyFont="1" applyFill="1" applyBorder="1" applyAlignment="1" applyProtection="1">
      <alignment vertical="center"/>
    </xf>
    <xf numFmtId="0" fontId="19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/>
    </xf>
    <xf numFmtId="44" fontId="31" fillId="15" borderId="7" xfId="0" applyNumberFormat="1" applyFont="1" applyFill="1" applyBorder="1" applyAlignment="1" applyProtection="1">
      <alignment horizontal="right" vertical="center"/>
    </xf>
    <xf numFmtId="176" fontId="62" fillId="0" borderId="7" xfId="2" applyNumberFormat="1" applyFont="1" applyBorder="1" applyAlignment="1">
      <alignment vertical="center"/>
    </xf>
    <xf numFmtId="176" fontId="62" fillId="15" borderId="7" xfId="2" applyNumberFormat="1" applyFont="1" applyFill="1" applyBorder="1" applyAlignment="1">
      <alignment vertical="center"/>
    </xf>
    <xf numFmtId="0" fontId="20" fillId="15" borderId="7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horizontal="center"/>
    </xf>
    <xf numFmtId="0" fontId="59" fillId="4" borderId="7" xfId="0" applyFont="1" applyFill="1" applyBorder="1" applyAlignment="1">
      <alignment horizontal="center" vertical="center"/>
    </xf>
    <xf numFmtId="0" fontId="58" fillId="4" borderId="7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/>
    </xf>
    <xf numFmtId="0" fontId="60" fillId="6" borderId="7" xfId="0" applyFont="1" applyFill="1" applyBorder="1" applyAlignment="1">
      <alignment horizontal="center"/>
    </xf>
    <xf numFmtId="0" fontId="31" fillId="0" borderId="7" xfId="0" applyFont="1" applyBorder="1" applyAlignment="1">
      <alignment horizontal="left" vertical="center"/>
    </xf>
    <xf numFmtId="0" fontId="19" fillId="0" borderId="7" xfId="0" quotePrefix="1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0" fillId="6" borderId="7" xfId="0" applyFont="1" applyFill="1" applyBorder="1" applyAlignment="1">
      <alignment horizontal="right" vertical="center"/>
    </xf>
    <xf numFmtId="0" fontId="57" fillId="4" borderId="7" xfId="0" applyFont="1" applyFill="1" applyBorder="1" applyAlignment="1">
      <alignment horizontal="left"/>
    </xf>
    <xf numFmtId="0" fontId="26" fillId="15" borderId="7" xfId="0" applyFont="1" applyFill="1" applyBorder="1" applyAlignment="1">
      <alignment horizontal="left" vertical="center"/>
    </xf>
    <xf numFmtId="0" fontId="11" fillId="15" borderId="3" xfId="0" applyFont="1" applyFill="1" applyBorder="1" applyAlignment="1" applyProtection="1">
      <alignment horizontal="center"/>
      <protection locked="0"/>
    </xf>
    <xf numFmtId="0" fontId="11" fillId="15" borderId="7" xfId="0" applyFont="1" applyFill="1" applyBorder="1" applyAlignment="1" applyProtection="1">
      <alignment horizontal="center"/>
      <protection locked="0"/>
    </xf>
    <xf numFmtId="0" fontId="26" fillId="0" borderId="7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26" fillId="2" borderId="7" xfId="0" applyFont="1" applyFill="1" applyBorder="1" applyAlignment="1">
      <alignment horizontal="center"/>
    </xf>
    <xf numFmtId="0" fontId="31" fillId="0" borderId="7" xfId="0" applyFont="1" applyBorder="1" applyAlignment="1">
      <alignment horizontal="left"/>
    </xf>
    <xf numFmtId="0" fontId="6" fillId="13" borderId="7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right" vertical="center"/>
    </xf>
    <xf numFmtId="0" fontId="45" fillId="4" borderId="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/>
    </xf>
    <xf numFmtId="0" fontId="20" fillId="16" borderId="7" xfId="0" applyFont="1" applyFill="1" applyBorder="1" applyAlignment="1">
      <alignment horizontal="right"/>
    </xf>
    <xf numFmtId="0" fontId="20" fillId="13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right"/>
    </xf>
    <xf numFmtId="0" fontId="20" fillId="13" borderId="7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right" vertical="center"/>
    </xf>
    <xf numFmtId="0" fontId="26" fillId="15" borderId="7" xfId="0" applyFont="1" applyFill="1" applyBorder="1" applyAlignment="1">
      <alignment horizontal="right" vertical="center"/>
    </xf>
    <xf numFmtId="0" fontId="49" fillId="4" borderId="7" xfId="0" applyFont="1" applyFill="1" applyBorder="1" applyAlignment="1">
      <alignment horizontal="left"/>
    </xf>
    <xf numFmtId="0" fontId="26" fillId="0" borderId="7" xfId="0" applyFont="1" applyBorder="1" applyAlignment="1">
      <alignment horizontal="left" vertical="center"/>
    </xf>
    <xf numFmtId="0" fontId="32" fillId="0" borderId="7" xfId="0" applyFont="1" applyBorder="1" applyAlignment="1" applyProtection="1">
      <alignment horizontal="right" vertical="center"/>
      <protection locked="0"/>
    </xf>
    <xf numFmtId="0" fontId="19" fillId="0" borderId="7" xfId="0" applyFont="1" applyBorder="1" applyAlignment="1">
      <alignment horizontal="right" vertical="center"/>
    </xf>
    <xf numFmtId="9" fontId="32" fillId="0" borderId="7" xfId="0" applyNumberFormat="1" applyFont="1" applyBorder="1" applyAlignment="1" applyProtection="1">
      <alignment horizontal="right" vertical="center"/>
      <protection locked="0"/>
    </xf>
    <xf numFmtId="9" fontId="19" fillId="0" borderId="7" xfId="0" applyNumberFormat="1" applyFont="1" applyBorder="1" applyAlignment="1">
      <alignment horizontal="right" vertical="center"/>
    </xf>
    <xf numFmtId="0" fontId="26" fillId="15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174" fontId="32" fillId="0" borderId="7" xfId="1" applyNumberFormat="1" applyFont="1" applyBorder="1" applyAlignment="1" applyProtection="1">
      <alignment horizontal="right" vertical="center"/>
      <protection locked="0"/>
    </xf>
    <xf numFmtId="174" fontId="19" fillId="0" borderId="7" xfId="0" applyNumberFormat="1" applyFont="1" applyBorder="1" applyAlignment="1">
      <alignment horizontal="right" vertical="center"/>
    </xf>
    <xf numFmtId="44" fontId="31" fillId="0" borderId="7" xfId="0" applyNumberFormat="1" applyFont="1" applyBorder="1" applyAlignment="1">
      <alignment horizontal="center" vertical="center"/>
    </xf>
    <xf numFmtId="9" fontId="26" fillId="0" borderId="7" xfId="0" applyNumberFormat="1" applyFont="1" applyBorder="1" applyAlignment="1">
      <alignment horizontal="right" vertical="center"/>
    </xf>
    <xf numFmtId="0" fontId="28" fillId="6" borderId="7" xfId="0" applyFont="1" applyFill="1" applyBorder="1" applyAlignment="1">
      <alignment horizontal="center" wrapText="1"/>
    </xf>
    <xf numFmtId="0" fontId="26" fillId="15" borderId="7" xfId="0" applyFont="1" applyFill="1" applyBorder="1" applyAlignment="1">
      <alignment horizontal="center" vertical="center" wrapText="1"/>
    </xf>
    <xf numFmtId="174" fontId="2" fillId="23" borderId="7" xfId="2" applyNumberFormat="1" applyFill="1" applyBorder="1" applyAlignment="1" applyProtection="1">
      <alignment vertical="center"/>
    </xf>
    <xf numFmtId="174" fontId="2" fillId="23" borderId="7" xfId="2" applyNumberFormat="1" applyFill="1" applyBorder="1" applyAlignment="1">
      <alignment vertical="center"/>
    </xf>
    <xf numFmtId="0" fontId="27" fillId="0" borderId="7" xfId="0" applyFont="1" applyBorder="1" applyAlignment="1">
      <alignment horizontal="left" vertical="center"/>
    </xf>
    <xf numFmtId="10" fontId="27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8" fillId="15" borderId="7" xfId="0" applyFont="1" applyFill="1" applyBorder="1" applyAlignment="1">
      <alignment horizontal="right" vertical="center" wrapText="1"/>
    </xf>
    <xf numFmtId="0" fontId="28" fillId="15" borderId="7" xfId="0" applyFont="1" applyFill="1" applyBorder="1" applyAlignment="1">
      <alignment horizontal="right" vertical="center"/>
    </xf>
    <xf numFmtId="10" fontId="20" fillId="15" borderId="7" xfId="0" applyNumberFormat="1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left" vertical="center" wrapText="1"/>
    </xf>
    <xf numFmtId="0" fontId="42" fillId="4" borderId="7" xfId="0" applyFont="1" applyFill="1" applyBorder="1" applyAlignment="1">
      <alignment horizontal="left" vertical="center"/>
    </xf>
    <xf numFmtId="0" fontId="43" fillId="4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0" fontId="19" fillId="4" borderId="7" xfId="0" applyFont="1" applyFill="1" applyBorder="1"/>
    <xf numFmtId="0" fontId="6" fillId="13" borderId="7" xfId="0" applyFont="1" applyFill="1" applyBorder="1" applyAlignment="1">
      <alignment horizontal="center"/>
    </xf>
    <xf numFmtId="0" fontId="20" fillId="14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center" wrapText="1"/>
    </xf>
    <xf numFmtId="0" fontId="45" fillId="4" borderId="7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7" xfId="0" applyFont="1" applyBorder="1" applyAlignment="1">
      <alignment horizontal="left"/>
    </xf>
    <xf numFmtId="9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left" wrapText="1"/>
    </xf>
    <xf numFmtId="0" fontId="46" fillId="4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31" fillId="0" borderId="7" xfId="0" applyFont="1" applyBorder="1" applyAlignment="1">
      <alignment horizontal="left" wrapText="1"/>
    </xf>
    <xf numFmtId="0" fontId="19" fillId="0" borderId="7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12" borderId="7" xfId="0" applyFont="1" applyFill="1" applyBorder="1" applyAlignment="1">
      <alignment horizontal="left" vertical="center"/>
    </xf>
    <xf numFmtId="0" fontId="19" fillId="12" borderId="7" xfId="0" applyFont="1" applyFill="1" applyBorder="1" applyAlignment="1">
      <alignment horizontal="left"/>
    </xf>
    <xf numFmtId="0" fontId="20" fillId="21" borderId="7" xfId="0" applyFont="1" applyFill="1" applyBorder="1" applyAlignment="1">
      <alignment horizontal="center"/>
    </xf>
    <xf numFmtId="0" fontId="20" fillId="22" borderId="7" xfId="0" applyFont="1" applyFill="1" applyBorder="1" applyAlignment="1">
      <alignment horizontal="center"/>
    </xf>
    <xf numFmtId="0" fontId="19" fillId="22" borderId="7" xfId="0" applyFont="1" applyFill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23" borderId="7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left"/>
    </xf>
    <xf numFmtId="0" fontId="40" fillId="0" borderId="7" xfId="0" applyFont="1" applyBorder="1" applyAlignment="1" applyProtection="1">
      <alignment horizontal="center" vertical="center"/>
      <protection locked="0"/>
    </xf>
    <xf numFmtId="0" fontId="30" fillId="12" borderId="7" xfId="0" applyFont="1" applyFill="1" applyBorder="1" applyAlignment="1">
      <alignment horizontal="left" vertical="center" wrapText="1"/>
    </xf>
    <xf numFmtId="0" fontId="30" fillId="12" borderId="7" xfId="0" applyFont="1" applyFill="1" applyBorder="1" applyAlignment="1">
      <alignment horizontal="left" vertical="center"/>
    </xf>
    <xf numFmtId="0" fontId="40" fillId="12" borderId="7" xfId="0" applyFont="1" applyFill="1" applyBorder="1" applyAlignment="1" applyProtection="1">
      <alignment horizontal="center" vertical="center" wrapText="1"/>
      <protection locked="0"/>
    </xf>
    <xf numFmtId="0" fontId="30" fillId="12" borderId="7" xfId="0" applyFont="1" applyFill="1" applyBorder="1" applyAlignment="1">
      <alignment vertical="center"/>
    </xf>
    <xf numFmtId="0" fontId="20" fillId="0" borderId="7" xfId="0" applyFont="1" applyBorder="1" applyAlignment="1">
      <alignment horizontal="left"/>
    </xf>
    <xf numFmtId="0" fontId="22" fillId="11" borderId="7" xfId="0" applyFont="1" applyFill="1" applyBorder="1" applyAlignment="1" applyProtection="1">
      <alignment horizontal="center"/>
      <protection locked="0"/>
    </xf>
    <xf numFmtId="0" fontId="22" fillId="23" borderId="7" xfId="0" applyFont="1" applyFill="1" applyBorder="1" applyAlignment="1" applyProtection="1">
      <alignment horizontal="center" wrapText="1"/>
      <protection locked="0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 applyProtection="1">
      <alignment horizontal="center"/>
      <protection locked="0"/>
    </xf>
    <xf numFmtId="49" fontId="22" fillId="3" borderId="7" xfId="0" applyNumberFormat="1" applyFont="1" applyFill="1" applyBorder="1" applyAlignment="1">
      <alignment horizontal="center"/>
    </xf>
    <xf numFmtId="166" fontId="17" fillId="12" borderId="7" xfId="0" applyNumberFormat="1" applyFont="1" applyFill="1" applyBorder="1" applyAlignment="1" applyProtection="1">
      <alignment horizontal="center"/>
      <protection locked="0"/>
    </xf>
    <xf numFmtId="0" fontId="20" fillId="8" borderId="7" xfId="0" applyFont="1" applyFill="1" applyBorder="1" applyAlignment="1">
      <alignment horizontal="center"/>
    </xf>
    <xf numFmtId="0" fontId="20" fillId="20" borderId="7" xfId="0" applyFont="1" applyFill="1" applyBorder="1" applyAlignment="1">
      <alignment horizontal="center"/>
    </xf>
    <xf numFmtId="22" fontId="19" fillId="11" borderId="7" xfId="0" applyNumberFormat="1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left" vertical="center"/>
    </xf>
    <xf numFmtId="0" fontId="31" fillId="0" borderId="7" xfId="0" applyFont="1" applyFill="1" applyBorder="1" applyAlignment="1">
      <alignment horizontal="left"/>
    </xf>
    <xf numFmtId="0" fontId="31" fillId="0" borderId="7" xfId="0" applyFont="1" applyFill="1" applyBorder="1" applyAlignment="1" applyProtection="1">
      <alignment horizontal="left" vertical="center"/>
    </xf>
    <xf numFmtId="0" fontId="20" fillId="6" borderId="7" xfId="0" applyFont="1" applyFill="1" applyBorder="1" applyAlignment="1" applyProtection="1">
      <alignment horizontal="right" vertical="center"/>
    </xf>
    <xf numFmtId="0" fontId="6" fillId="13" borderId="7" xfId="0" applyFont="1" applyFill="1" applyBorder="1" applyAlignment="1" applyProtection="1">
      <alignment horizontal="center" vertical="center"/>
    </xf>
    <xf numFmtId="0" fontId="20" fillId="14" borderId="7" xfId="0" applyFont="1" applyFill="1" applyBorder="1" applyAlignment="1" applyProtection="1">
      <alignment horizontal="center" vertical="center"/>
    </xf>
    <xf numFmtId="0" fontId="26" fillId="6" borderId="7" xfId="0" applyFont="1" applyFill="1" applyBorder="1" applyAlignment="1" applyProtection="1">
      <alignment horizontal="right" vertical="center"/>
    </xf>
    <xf numFmtId="0" fontId="45" fillId="4" borderId="7" xfId="0" applyFont="1" applyFill="1" applyBorder="1" applyAlignment="1" applyProtection="1">
      <alignment horizontal="left" vertical="center" wrapText="1"/>
    </xf>
    <xf numFmtId="0" fontId="31" fillId="0" borderId="7" xfId="0" applyFont="1" applyFill="1" applyBorder="1" applyAlignment="1">
      <alignment horizontal="left" vertical="center"/>
    </xf>
    <xf numFmtId="0" fontId="20" fillId="15" borderId="7" xfId="0" applyFont="1" applyFill="1" applyBorder="1" applyAlignment="1" applyProtection="1">
      <alignment horizontal="right" vertical="center"/>
    </xf>
    <xf numFmtId="0" fontId="31" fillId="0" borderId="7" xfId="0" applyFont="1" applyFill="1" applyBorder="1" applyAlignment="1" applyProtection="1">
      <alignment horizontal="left" vertical="center" wrapText="1"/>
    </xf>
    <xf numFmtId="0" fontId="6" fillId="15" borderId="7" xfId="0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/>
    </xf>
    <xf numFmtId="0" fontId="60" fillId="6" borderId="7" xfId="0" applyFont="1" applyFill="1" applyBorder="1" applyAlignment="1" applyProtection="1">
      <alignment horizontal="center"/>
    </xf>
    <xf numFmtId="0" fontId="20" fillId="17" borderId="7" xfId="0" applyFont="1" applyFill="1" applyBorder="1" applyAlignment="1" applyProtection="1">
      <alignment horizontal="center"/>
    </xf>
    <xf numFmtId="0" fontId="57" fillId="4" borderId="7" xfId="0" applyFont="1" applyFill="1" applyBorder="1" applyAlignment="1" applyProtection="1">
      <alignment horizontal="left"/>
    </xf>
    <xf numFmtId="0" fontId="59" fillId="4" borderId="7" xfId="0" applyFont="1" applyFill="1" applyBorder="1" applyAlignment="1" applyProtection="1">
      <alignment horizontal="center" vertical="center"/>
    </xf>
    <xf numFmtId="0" fontId="58" fillId="4" borderId="7" xfId="0" applyFont="1" applyFill="1" applyBorder="1" applyAlignment="1" applyProtection="1">
      <alignment horizontal="center" vertical="center" wrapText="1"/>
    </xf>
    <xf numFmtId="0" fontId="58" fillId="4" borderId="7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 applyProtection="1">
      <alignment horizontal="right"/>
    </xf>
    <xf numFmtId="0" fontId="20" fillId="13" borderId="7" xfId="0" applyFont="1" applyFill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38" fillId="0" borderId="7" xfId="0" applyFont="1" applyBorder="1" applyAlignment="1" applyProtection="1">
      <alignment horizontal="left" vertical="center"/>
    </xf>
    <xf numFmtId="0" fontId="20" fillId="16" borderId="7" xfId="0" applyFont="1" applyFill="1" applyBorder="1" applyAlignment="1" applyProtection="1">
      <alignment horizontal="right"/>
    </xf>
    <xf numFmtId="0" fontId="20" fillId="13" borderId="7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 vertical="center"/>
    </xf>
    <xf numFmtId="0" fontId="45" fillId="4" borderId="7" xfId="0" applyFont="1" applyFill="1" applyBorder="1" applyAlignment="1" applyProtection="1">
      <alignment horizontal="left"/>
    </xf>
    <xf numFmtId="0" fontId="26" fillId="0" borderId="7" xfId="0" applyFont="1" applyBorder="1" applyAlignment="1" applyProtection="1">
      <alignment horizontal="left" vertical="center"/>
    </xf>
    <xf numFmtId="0" fontId="26" fillId="15" borderId="7" xfId="0" applyFont="1" applyFill="1" applyBorder="1" applyAlignment="1" applyProtection="1">
      <alignment horizontal="right" vertical="center"/>
    </xf>
    <xf numFmtId="0" fontId="26" fillId="0" borderId="7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 wrapText="1"/>
    </xf>
    <xf numFmtId="165" fontId="32" fillId="0" borderId="7" xfId="1" applyNumberFormat="1" applyFont="1" applyFill="1" applyBorder="1" applyAlignment="1" applyProtection="1">
      <alignment horizontal="right" vertical="center"/>
      <protection locked="0"/>
    </xf>
    <xf numFmtId="165" fontId="19" fillId="0" borderId="7" xfId="0" applyNumberFormat="1" applyFont="1" applyFill="1" applyBorder="1" applyAlignment="1">
      <alignment horizontal="right" vertical="center"/>
    </xf>
    <xf numFmtId="44" fontId="31" fillId="0" borderId="7" xfId="0" applyNumberFormat="1" applyFont="1" applyFill="1" applyBorder="1" applyAlignment="1" applyProtection="1">
      <alignment horizontal="center" vertical="center"/>
    </xf>
    <xf numFmtId="0" fontId="32" fillId="0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>
      <alignment horizontal="right" vertical="center"/>
    </xf>
    <xf numFmtId="9" fontId="26" fillId="0" borderId="7" xfId="0" applyNumberFormat="1" applyFont="1" applyFill="1" applyBorder="1" applyAlignment="1" applyProtection="1">
      <alignment horizontal="right" vertical="center"/>
    </xf>
    <xf numFmtId="165" fontId="2" fillId="23" borderId="7" xfId="2" applyNumberFormat="1" applyFill="1" applyBorder="1" applyAlignment="1" applyProtection="1">
      <alignment horizontal="right" vertical="center"/>
    </xf>
    <xf numFmtId="165" fontId="2" fillId="23" borderId="7" xfId="2" applyNumberFormat="1" applyFill="1" applyBorder="1" applyAlignment="1">
      <alignment horizontal="right" vertical="center"/>
    </xf>
    <xf numFmtId="0" fontId="28" fillId="15" borderId="7" xfId="0" applyFont="1" applyFill="1" applyBorder="1" applyAlignment="1" applyProtection="1">
      <alignment horizontal="right" vertical="center" wrapText="1"/>
    </xf>
    <xf numFmtId="0" fontId="28" fillId="15" borderId="7" xfId="0" applyFont="1" applyFill="1" applyBorder="1" applyAlignment="1" applyProtection="1">
      <alignment horizontal="right" vertical="center"/>
    </xf>
    <xf numFmtId="10" fontId="20" fillId="15" borderId="7" xfId="0" applyNumberFormat="1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right" vertical="center"/>
      <protection locked="0"/>
    </xf>
    <xf numFmtId="0" fontId="19" fillId="0" borderId="7" xfId="0" applyFont="1" applyFill="1" applyBorder="1" applyAlignment="1">
      <alignment horizontal="right" vertical="center"/>
    </xf>
    <xf numFmtId="9" fontId="32" fillId="0" borderId="7" xfId="0" applyNumberFormat="1" applyFont="1" applyFill="1" applyBorder="1" applyAlignment="1" applyProtection="1">
      <alignment horizontal="right" vertical="center"/>
      <protection locked="0"/>
    </xf>
    <xf numFmtId="9" fontId="19" fillId="0" borderId="7" xfId="0" applyNumberFormat="1" applyFont="1" applyFill="1" applyBorder="1" applyAlignment="1">
      <alignment horizontal="right" vertical="center"/>
    </xf>
    <xf numFmtId="0" fontId="43" fillId="4" borderId="7" xfId="0" applyFont="1" applyFill="1" applyBorder="1" applyAlignment="1" applyProtection="1">
      <alignment horizontal="left" vertical="center" wrapText="1"/>
    </xf>
    <xf numFmtId="0" fontId="26" fillId="10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/>
    <xf numFmtId="0" fontId="6" fillId="13" borderId="7" xfId="0" applyFont="1" applyFill="1" applyBorder="1" applyAlignment="1" applyProtection="1">
      <alignment horizontal="center"/>
    </xf>
    <xf numFmtId="0" fontId="20" fillId="14" borderId="7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left" wrapText="1"/>
    </xf>
    <xf numFmtId="9" fontId="28" fillId="0" borderId="7" xfId="0" applyNumberFormat="1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left"/>
    </xf>
    <xf numFmtId="0" fontId="20" fillId="5" borderId="7" xfId="0" applyFont="1" applyFill="1" applyBorder="1" applyAlignment="1" applyProtection="1">
      <alignment horizontal="right" vertical="center"/>
    </xf>
    <xf numFmtId="0" fontId="45" fillId="4" borderId="7" xfId="0" applyFont="1" applyFill="1" applyBorder="1" applyAlignment="1" applyProtection="1">
      <alignment horizontal="left" vertical="center"/>
    </xf>
    <xf numFmtId="0" fontId="46" fillId="4" borderId="7" xfId="0" applyFont="1" applyFill="1" applyBorder="1" applyAlignment="1" applyProtection="1">
      <alignment horizontal="left" vertical="center"/>
    </xf>
    <xf numFmtId="0" fontId="6" fillId="6" borderId="7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left" wrapText="1"/>
    </xf>
    <xf numFmtId="0" fontId="38" fillId="0" borderId="7" xfId="0" applyFont="1" applyFill="1" applyBorder="1" applyAlignment="1" applyProtection="1">
      <alignment horizontal="left" wrapText="1"/>
    </xf>
    <xf numFmtId="0" fontId="62" fillId="0" borderId="7" xfId="0" applyFont="1" applyFill="1" applyBorder="1" applyAlignment="1" applyProtection="1">
      <alignment horizontal="left" vertical="center" wrapText="1"/>
    </xf>
    <xf numFmtId="0" fontId="61" fillId="0" borderId="7" xfId="0" applyFont="1" applyFill="1" applyBorder="1" applyAlignment="1" applyProtection="1">
      <alignment horizontal="left" vertical="center" wrapText="1"/>
    </xf>
    <xf numFmtId="22" fontId="19" fillId="11" borderId="7" xfId="0" applyNumberFormat="1" applyFont="1" applyFill="1" applyBorder="1" applyAlignment="1" applyProtection="1">
      <alignment horizontal="center"/>
    </xf>
    <xf numFmtId="0" fontId="19" fillId="11" borderId="7" xfId="0" applyFont="1" applyFill="1" applyBorder="1" applyAlignment="1" applyProtection="1">
      <alignment horizontal="center"/>
    </xf>
    <xf numFmtId="0" fontId="31" fillId="0" borderId="7" xfId="0" applyFont="1" applyFill="1" applyBorder="1" applyAlignment="1" applyProtection="1">
      <alignment horizontal="left" wrapText="1"/>
    </xf>
    <xf numFmtId="0" fontId="20" fillId="7" borderId="7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7" xfId="0" applyFont="1" applyFill="1" applyBorder="1" applyAlignment="1">
      <alignment horizontal="left"/>
    </xf>
    <xf numFmtId="0" fontId="20" fillId="21" borderId="7" xfId="0" applyFont="1" applyFill="1" applyBorder="1" applyAlignment="1" applyProtection="1">
      <alignment horizontal="center"/>
    </xf>
    <xf numFmtId="0" fontId="20" fillId="22" borderId="7" xfId="0" applyFont="1" applyFill="1" applyBorder="1" applyAlignment="1" applyProtection="1">
      <alignment horizontal="center"/>
    </xf>
    <xf numFmtId="0" fontId="19" fillId="22" borderId="7" xfId="0" applyFont="1" applyFill="1" applyBorder="1" applyAlignment="1" applyProtection="1">
      <alignment horizontal="center"/>
    </xf>
    <xf numFmtId="0" fontId="31" fillId="12" borderId="7" xfId="0" applyFont="1" applyFill="1" applyBorder="1" applyAlignment="1" applyProtection="1">
      <alignment horizontal="center" vertical="center"/>
    </xf>
    <xf numFmtId="49" fontId="22" fillId="3" borderId="7" xfId="0" applyNumberFormat="1" applyFont="1" applyFill="1" applyBorder="1" applyAlignment="1" applyProtection="1">
      <alignment horizontal="center"/>
    </xf>
    <xf numFmtId="17" fontId="22" fillId="3" borderId="7" xfId="0" applyNumberFormat="1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0" fillId="8" borderId="7" xfId="0" applyFont="1" applyFill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/>
    </xf>
    <xf numFmtId="0" fontId="61" fillId="0" borderId="7" xfId="0" applyFont="1" applyFill="1" applyBorder="1" applyAlignment="1" applyProtection="1">
      <alignment horizontal="left" wrapText="1"/>
    </xf>
    <xf numFmtId="0" fontId="30" fillId="0" borderId="7" xfId="0" applyFont="1" applyBorder="1" applyAlignment="1" applyProtection="1">
      <alignment horizontal="left"/>
    </xf>
    <xf numFmtId="0" fontId="30" fillId="12" borderId="7" xfId="0" applyFont="1" applyFill="1" applyBorder="1" applyAlignment="1" applyProtection="1">
      <alignment horizontal="left" vertical="center" wrapText="1"/>
    </xf>
    <xf numFmtId="0" fontId="30" fillId="12" borderId="7" xfId="0" applyFont="1" applyFill="1" applyBorder="1" applyAlignment="1" applyProtection="1">
      <alignment horizontal="left" vertical="center"/>
    </xf>
    <xf numFmtId="0" fontId="40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30" fillId="12" borderId="7" xfId="0" applyNumberFormat="1" applyFont="1" applyFill="1" applyBorder="1" applyAlignment="1">
      <alignment vertical="center"/>
    </xf>
    <xf numFmtId="0" fontId="19" fillId="12" borderId="7" xfId="0" applyFont="1" applyFill="1" applyBorder="1" applyAlignment="1" applyProtection="1">
      <alignment horizontal="left"/>
    </xf>
    <xf numFmtId="0" fontId="20" fillId="0" borderId="7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left"/>
    </xf>
    <xf numFmtId="0" fontId="52" fillId="6" borderId="7" xfId="15" applyFont="1" applyFill="1" applyBorder="1" applyAlignment="1" applyProtection="1">
      <alignment horizontal="center"/>
    </xf>
    <xf numFmtId="0" fontId="52" fillId="2" borderId="7" xfId="15" applyFont="1" applyFill="1" applyBorder="1" applyAlignment="1" applyProtection="1">
      <alignment horizontal="center" wrapText="1"/>
    </xf>
    <xf numFmtId="0" fontId="11" fillId="0" borderId="7" xfId="15" applyFont="1" applyFill="1" applyBorder="1" applyAlignment="1" applyProtection="1">
      <alignment horizontal="center" vertical="center"/>
    </xf>
    <xf numFmtId="0" fontId="11" fillId="0" borderId="7" xfId="15" applyFont="1" applyFill="1" applyBorder="1" applyAlignment="1" applyProtection="1">
      <alignment horizontal="center" vertical="center" wrapText="1"/>
    </xf>
    <xf numFmtId="0" fontId="11" fillId="0" borderId="7" xfId="15" applyFont="1" applyBorder="1" applyAlignment="1" applyProtection="1">
      <alignment horizontal="center" vertical="center"/>
    </xf>
    <xf numFmtId="0" fontId="11" fillId="0" borderId="7" xfId="15" applyFont="1" applyBorder="1" applyAlignment="1" applyProtection="1">
      <alignment horizontal="center" vertical="center" wrapText="1"/>
    </xf>
    <xf numFmtId="0" fontId="11" fillId="18" borderId="7" xfId="15" applyFont="1" applyFill="1" applyBorder="1" applyAlignment="1" applyProtection="1">
      <alignment horizontal="right" vertical="center"/>
    </xf>
    <xf numFmtId="0" fontId="50" fillId="0" borderId="7" xfId="15" applyFont="1" applyFill="1" applyBorder="1" applyAlignment="1" applyProtection="1">
      <alignment horizontal="center" vertical="center"/>
    </xf>
    <xf numFmtId="0" fontId="18" fillId="0" borderId="7" xfId="15" applyNumberFormat="1" applyFont="1" applyFill="1" applyBorder="1" applyAlignment="1" applyProtection="1">
      <alignment horizontal="center" vertical="center"/>
    </xf>
    <xf numFmtId="0" fontId="55" fillId="19" borderId="7" xfId="15" applyFont="1" applyFill="1" applyBorder="1" applyAlignment="1" applyProtection="1">
      <alignment horizontal="center"/>
    </xf>
    <xf numFmtId="0" fontId="11" fillId="19" borderId="7" xfId="15" applyFont="1" applyFill="1" applyBorder="1" applyAlignment="1" applyProtection="1">
      <alignment horizontal="right" vertical="center"/>
    </xf>
    <xf numFmtId="0" fontId="0" fillId="0" borderId="7" xfId="15" applyFont="1" applyBorder="1" applyAlignment="1" applyProtection="1">
      <alignment horizontal="center" vertical="center"/>
    </xf>
    <xf numFmtId="0" fontId="51" fillId="19" borderId="7" xfId="15" applyFont="1" applyFill="1" applyBorder="1" applyAlignment="1" applyProtection="1">
      <alignment horizontal="center" vertical="center"/>
    </xf>
    <xf numFmtId="0" fontId="54" fillId="0" borderId="7" xfId="15" applyFont="1" applyBorder="1" applyAlignment="1">
      <alignment horizontal="left" vertical="center"/>
    </xf>
    <xf numFmtId="173" fontId="62" fillId="0" borderId="7" xfId="2" applyNumberFormat="1" applyFont="1" applyBorder="1" applyAlignment="1">
      <alignment horizontal="center" vertical="center"/>
    </xf>
    <xf numFmtId="0" fontId="62" fillId="0" borderId="7" xfId="0" applyFont="1" applyBorder="1" applyAlignment="1">
      <alignment horizontal="center" vertical="center"/>
    </xf>
    <xf numFmtId="173" fontId="27" fillId="0" borderId="2" xfId="2" applyNumberFormat="1" applyFont="1" applyBorder="1" applyAlignment="1">
      <alignment horizontal="center" vertical="center"/>
    </xf>
    <xf numFmtId="173" fontId="27" fillId="0" borderId="3" xfId="2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7" fillId="15" borderId="7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3" borderId="7" xfId="0" applyFont="1" applyFill="1" applyBorder="1" applyAlignment="1">
      <alignment horizontal="center"/>
    </xf>
    <xf numFmtId="0" fontId="61" fillId="6" borderId="7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/>
    </xf>
    <xf numFmtId="0" fontId="61" fillId="15" borderId="7" xfId="0" applyFont="1" applyFill="1" applyBorder="1" applyAlignment="1">
      <alignment horizontal="center" vertical="center"/>
    </xf>
    <xf numFmtId="173" fontId="61" fillId="15" borderId="7" xfId="2" applyNumberFormat="1" applyFont="1" applyFill="1" applyBorder="1" applyAlignment="1">
      <alignment horizontal="center" vertical="center"/>
    </xf>
    <xf numFmtId="0" fontId="61" fillId="6" borderId="7" xfId="0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15" borderId="12" xfId="0" applyFont="1" applyFill="1" applyBorder="1" applyAlignment="1">
      <alignment horizontal="center" vertical="center" wrapText="1"/>
    </xf>
    <xf numFmtId="0" fontId="61" fillId="15" borderId="13" xfId="0" applyFont="1" applyFill="1" applyBorder="1" applyAlignment="1">
      <alignment horizontal="center" vertical="center"/>
    </xf>
    <xf numFmtId="0" fontId="61" fillId="15" borderId="14" xfId="0" applyFont="1" applyFill="1" applyBorder="1" applyAlignment="1">
      <alignment horizontal="center" vertical="center"/>
    </xf>
    <xf numFmtId="0" fontId="61" fillId="15" borderId="15" xfId="0" applyFont="1" applyFill="1" applyBorder="1" applyAlignment="1">
      <alignment horizontal="center" vertical="center"/>
    </xf>
    <xf numFmtId="0" fontId="61" fillId="15" borderId="1" xfId="0" applyFont="1" applyFill="1" applyBorder="1" applyAlignment="1">
      <alignment horizontal="center" vertical="center"/>
    </xf>
    <xf numFmtId="0" fontId="61" fillId="15" borderId="16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15" borderId="2" xfId="0" applyFont="1" applyFill="1" applyBorder="1" applyAlignment="1">
      <alignment horizontal="center" vertical="center" wrapText="1"/>
    </xf>
    <xf numFmtId="0" fontId="62" fillId="15" borderId="4" xfId="0" applyFont="1" applyFill="1" applyBorder="1" applyAlignment="1">
      <alignment horizontal="center" vertical="center" wrapText="1"/>
    </xf>
    <xf numFmtId="0" fontId="62" fillId="15" borderId="3" xfId="0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52" fillId="19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</cellXfs>
  <cellStyles count="17">
    <cellStyle name="Excel Built-in Comma" xfId="6" xr:uid="{00000000-0005-0000-0000-000000000000}"/>
    <cellStyle name="Excel Built-in Currency" xfId="7" xr:uid="{00000000-0005-0000-0000-000001000000}"/>
    <cellStyle name="Excel Built-in Normal" xfId="8" xr:uid="{00000000-0005-0000-0000-000002000000}"/>
    <cellStyle name="Excel Built-in Percent" xfId="9" xr:uid="{00000000-0005-0000-0000-000003000000}"/>
    <cellStyle name="Heading" xfId="10" xr:uid="{00000000-0005-0000-0000-000004000000}"/>
    <cellStyle name="Heading1" xfId="11" xr:uid="{00000000-0005-0000-0000-000005000000}"/>
    <cellStyle name="Moeda" xfId="2" builtinId="4"/>
    <cellStyle name="Moeda 3" xfId="16" xr:uid="{00000000-0005-0000-0000-000007000000}"/>
    <cellStyle name="Normal" xfId="0" builtinId="0"/>
    <cellStyle name="Normal 2" xfId="5" xr:uid="{00000000-0005-0000-0000-000009000000}"/>
    <cellStyle name="Normal 3" xfId="15" xr:uid="{00000000-0005-0000-0000-00000A000000}"/>
    <cellStyle name="Normal 5" xfId="4" xr:uid="{00000000-0005-0000-0000-00000B000000}"/>
    <cellStyle name="Normal 5 2" xfId="12" xr:uid="{00000000-0005-0000-0000-00000C000000}"/>
    <cellStyle name="Porcentagem" xfId="3" builtinId="5"/>
    <cellStyle name="Result" xfId="13" xr:uid="{00000000-0005-0000-0000-00000E000000}"/>
    <cellStyle name="Result2" xfId="14" xr:uid="{00000000-0005-0000-0000-00000F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BB599576-BCC1-499C-B651-51EBDDCF6F8D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9BFF843-100D-41A8-BD71-B271CC7CFEAD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566C874C-483E-47AE-9396-C4A0BB999980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F16360F4-45B9-4EE9-AD01-DF0475A59091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C26B7733-9DF6-493C-B60D-BDC3A3C7CC23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B5649926-AFBD-4C3B-8E3F-BD1D268593CF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E1660776-5929-49A3-A73B-384C5FCE5A21}"/>
            </a:ext>
          </a:extLst>
        </xdr:cNvPr>
        <xdr:cNvSpPr/>
      </xdr:nvSpPr>
      <xdr:spPr>
        <a:xfrm>
          <a:off x="5208990" y="1168395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55965</xdr:colOff>
      <xdr:row>7</xdr:row>
      <xdr:rowOff>25395</xdr:rowOff>
    </xdr:from>
    <xdr:to>
      <xdr:col>4</xdr:col>
      <xdr:colOff>621810</xdr:colOff>
      <xdr:row>7</xdr:row>
      <xdr:rowOff>148875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514D5897-1F83-4403-88A0-9802277B71AD}"/>
            </a:ext>
          </a:extLst>
        </xdr:cNvPr>
        <xdr:cNvSpPr/>
      </xdr:nvSpPr>
      <xdr:spPr>
        <a:xfrm>
          <a:off x="5218515" y="115887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46440</xdr:colOff>
      <xdr:row>7</xdr:row>
      <xdr:rowOff>34920</xdr:rowOff>
    </xdr:from>
    <xdr:to>
      <xdr:col>4</xdr:col>
      <xdr:colOff>612285</xdr:colOff>
      <xdr:row>7</xdr:row>
      <xdr:rowOff>158400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08990" y="1177920"/>
          <a:ext cx="565845" cy="123480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  <xdr:twoCellAnchor editAs="oneCell">
    <xdr:from>
      <xdr:col>4</xdr:col>
      <xdr:colOff>36916</xdr:colOff>
      <xdr:row>6</xdr:row>
      <xdr:rowOff>180975</xdr:rowOff>
    </xdr:from>
    <xdr:to>
      <xdr:col>4</xdr:col>
      <xdr:colOff>657226</xdr:colOff>
      <xdr:row>7</xdr:row>
      <xdr:rowOff>190499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008966" y="1333500"/>
          <a:ext cx="620310" cy="200024"/>
        </a:xfrm>
        <a:prstGeom prst="rightArrow">
          <a:avLst>
            <a:gd name="adj1" fmla="val 50000"/>
            <a:gd name="adj2" fmla="val 50000"/>
          </a:avLst>
        </a:prstGeom>
        <a:solidFill>
          <a:srgbClr val="0070C0"/>
        </a:solidFill>
        <a:ln w="25560">
          <a:solidFill>
            <a:srgbClr val="3A5F8B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Normal="100" workbookViewId="0">
      <selection activeCell="A8" sqref="A8:C8"/>
    </sheetView>
  </sheetViews>
  <sheetFormatPr defaultRowHeight="15"/>
  <cols>
    <col min="1" max="1" width="18.140625" customWidth="1"/>
    <col min="2" max="2" width="19.5703125" customWidth="1"/>
    <col min="3" max="3" width="23.42578125" customWidth="1"/>
    <col min="4" max="4" width="16" customWidth="1"/>
    <col min="5" max="5" width="17.5703125" customWidth="1"/>
    <col min="6" max="6" width="18.7109375" customWidth="1"/>
    <col min="7" max="7" width="30.5703125" customWidth="1"/>
    <col min="8" max="8" width="10.42578125" customWidth="1"/>
    <col min="9" max="9" width="11.140625" customWidth="1"/>
  </cols>
  <sheetData>
    <row r="1" spans="1:9">
      <c r="A1" s="463" t="s">
        <v>36</v>
      </c>
      <c r="B1" s="463"/>
      <c r="C1" s="463"/>
      <c r="D1" s="463"/>
      <c r="E1" s="463"/>
      <c r="F1" s="463"/>
      <c r="G1" s="463"/>
      <c r="H1" s="3"/>
      <c r="I1" s="3"/>
    </row>
    <row r="2" spans="1:9">
      <c r="A2" s="444" t="s">
        <v>0</v>
      </c>
      <c r="B2" s="444"/>
      <c r="C2" s="444"/>
      <c r="D2" s="444"/>
      <c r="E2" s="444"/>
      <c r="F2" s="444"/>
      <c r="G2" s="444"/>
      <c r="H2" s="3"/>
      <c r="I2" s="3"/>
    </row>
    <row r="3" spans="1:9">
      <c r="A3" s="146" t="s">
        <v>1</v>
      </c>
      <c r="B3" s="464" t="s">
        <v>367</v>
      </c>
      <c r="C3" s="464"/>
      <c r="D3" s="464"/>
      <c r="E3" s="147" t="s">
        <v>2</v>
      </c>
      <c r="F3" s="465" t="s">
        <v>368</v>
      </c>
      <c r="G3" s="465"/>
      <c r="H3" s="3"/>
      <c r="I3" s="3"/>
    </row>
    <row r="4" spans="1:9">
      <c r="A4" s="146" t="s">
        <v>3</v>
      </c>
      <c r="B4" s="466">
        <f ca="1">NOW()</f>
        <v>44335.715486921297</v>
      </c>
      <c r="C4" s="466"/>
      <c r="D4" s="466"/>
      <c r="E4" s="466"/>
      <c r="F4" s="466"/>
      <c r="G4" s="466"/>
      <c r="H4" s="3"/>
      <c r="I4" s="3"/>
    </row>
    <row r="5" spans="1:9">
      <c r="A5" s="467" t="s">
        <v>4</v>
      </c>
      <c r="B5" s="467"/>
      <c r="C5" s="467"/>
      <c r="D5" s="467"/>
      <c r="E5" s="467"/>
      <c r="F5" s="467"/>
      <c r="G5" s="467"/>
      <c r="H5" s="7"/>
      <c r="I5" s="3"/>
    </row>
    <row r="6" spans="1:9">
      <c r="A6" s="460" t="s">
        <v>5</v>
      </c>
      <c r="B6" s="460"/>
      <c r="C6" s="461" t="s">
        <v>340</v>
      </c>
      <c r="D6" s="461"/>
      <c r="E6" s="461"/>
      <c r="F6" s="461"/>
      <c r="G6" s="461"/>
      <c r="H6" s="5"/>
      <c r="I6" s="3"/>
    </row>
    <row r="7" spans="1:9">
      <c r="A7" s="460" t="s">
        <v>6</v>
      </c>
      <c r="B7" s="460"/>
      <c r="C7" s="461" t="s">
        <v>369</v>
      </c>
      <c r="D7" s="461"/>
      <c r="E7" s="461"/>
      <c r="F7" s="461"/>
      <c r="G7" s="461"/>
      <c r="H7" s="148"/>
      <c r="I7" s="3"/>
    </row>
    <row r="8" spans="1:9">
      <c r="A8" s="460" t="s">
        <v>268</v>
      </c>
      <c r="B8" s="460"/>
      <c r="C8" s="460"/>
      <c r="D8" s="206"/>
      <c r="E8" s="462">
        <v>1</v>
      </c>
      <c r="F8" s="462"/>
      <c r="G8" s="223" t="str">
        <f>IF(E8=1,"Lucro Real",IF(E8=2,"Lucro Presumido",IF(E8=3,"SIMPLES-Anexo III",IF(E8=4,"SIMPLES-Anexo IV","RT Inválido"))))</f>
        <v>Lucro Real</v>
      </c>
      <c r="H8" s="148"/>
      <c r="I8" s="3"/>
    </row>
    <row r="9" spans="1:9">
      <c r="A9" s="468" t="s">
        <v>7</v>
      </c>
      <c r="B9" s="468"/>
      <c r="C9" s="468"/>
      <c r="D9" s="468"/>
      <c r="E9" s="468"/>
      <c r="F9" s="468"/>
      <c r="G9" s="468"/>
      <c r="H9" s="148"/>
      <c r="I9" s="3"/>
    </row>
    <row r="10" spans="1:9">
      <c r="A10" s="224" t="s">
        <v>8</v>
      </c>
      <c r="B10" s="445" t="s">
        <v>9</v>
      </c>
      <c r="C10" s="445"/>
      <c r="D10" s="445"/>
      <c r="E10" s="469">
        <f ca="1">NOW()</f>
        <v>44335.715486921297</v>
      </c>
      <c r="F10" s="470"/>
      <c r="G10" s="470"/>
      <c r="H10" s="148"/>
      <c r="I10" s="3"/>
    </row>
    <row r="11" spans="1:9">
      <c r="A11" s="224" t="s">
        <v>10</v>
      </c>
      <c r="B11" s="454" t="s">
        <v>11</v>
      </c>
      <c r="C11" s="454"/>
      <c r="D11" s="454"/>
      <c r="E11" s="455" t="s">
        <v>341</v>
      </c>
      <c r="F11" s="455"/>
      <c r="G11" s="455"/>
      <c r="H11" s="3"/>
      <c r="I11" s="3"/>
    </row>
    <row r="12" spans="1:9" ht="26.25" customHeight="1">
      <c r="A12" s="158" t="s">
        <v>12</v>
      </c>
      <c r="B12" s="456" t="s">
        <v>69</v>
      </c>
      <c r="C12" s="457"/>
      <c r="D12" s="457"/>
      <c r="E12" s="457"/>
      <c r="F12" s="458" t="s">
        <v>263</v>
      </c>
      <c r="G12" s="459"/>
      <c r="H12" s="3"/>
      <c r="I12" s="3"/>
    </row>
    <row r="13" spans="1:9">
      <c r="A13" s="224" t="s">
        <v>13</v>
      </c>
      <c r="B13" s="447" t="s">
        <v>14</v>
      </c>
      <c r="C13" s="447"/>
      <c r="D13" s="447"/>
      <c r="E13" s="447"/>
      <c r="F13" s="447"/>
      <c r="G13" s="225">
        <v>30</v>
      </c>
      <c r="H13" s="3"/>
      <c r="I13" s="3"/>
    </row>
    <row r="14" spans="1:9">
      <c r="A14" s="448" t="s">
        <v>289</v>
      </c>
      <c r="B14" s="448"/>
      <c r="C14" s="448"/>
      <c r="D14" s="448"/>
      <c r="E14" s="448"/>
      <c r="F14" s="448"/>
      <c r="G14" s="448"/>
      <c r="H14" s="3"/>
      <c r="I14" s="3"/>
    </row>
    <row r="15" spans="1:9">
      <c r="A15" s="449" t="s">
        <v>290</v>
      </c>
      <c r="B15" s="449"/>
      <c r="C15" s="449"/>
      <c r="D15" s="450" t="s">
        <v>291</v>
      </c>
      <c r="E15" s="450"/>
      <c r="F15" s="450" t="s">
        <v>292</v>
      </c>
      <c r="G15" s="450"/>
      <c r="H15" s="3"/>
      <c r="I15" s="3"/>
    </row>
    <row r="16" spans="1:9">
      <c r="A16" s="451" t="s">
        <v>351</v>
      </c>
      <c r="B16" s="451"/>
      <c r="C16" s="451"/>
      <c r="D16" s="452" t="s">
        <v>293</v>
      </c>
      <c r="E16" s="452"/>
      <c r="F16" s="453">
        <v>1</v>
      </c>
      <c r="G16" s="453"/>
      <c r="H16" s="3"/>
      <c r="I16" s="3"/>
    </row>
    <row r="17" spans="1:9">
      <c r="A17" s="451"/>
      <c r="B17" s="451"/>
      <c r="C17" s="451"/>
      <c r="D17" s="452"/>
      <c r="E17" s="452"/>
      <c r="F17" s="453"/>
      <c r="G17" s="453"/>
      <c r="H17" s="3"/>
      <c r="I17" s="3"/>
    </row>
    <row r="18" spans="1:9">
      <c r="A18" s="443"/>
      <c r="B18" s="443"/>
      <c r="C18" s="443"/>
      <c r="D18" s="443"/>
      <c r="E18" s="443"/>
      <c r="F18" s="443"/>
      <c r="G18" s="443"/>
      <c r="H18" s="3"/>
      <c r="I18" s="7"/>
    </row>
    <row r="19" spans="1:9" ht="15.75">
      <c r="A19" s="426" t="s">
        <v>304</v>
      </c>
      <c r="B19" s="426"/>
      <c r="C19" s="426"/>
      <c r="D19" s="426"/>
      <c r="E19" s="426"/>
      <c r="F19" s="426"/>
      <c r="G19" s="426"/>
      <c r="H19" s="3"/>
      <c r="I19" s="7"/>
    </row>
    <row r="20" spans="1:9">
      <c r="A20" s="444" t="s">
        <v>303</v>
      </c>
      <c r="B20" s="444"/>
      <c r="C20" s="444"/>
      <c r="D20" s="444"/>
      <c r="E20" s="444"/>
      <c r="F20" s="444"/>
      <c r="G20" s="444"/>
      <c r="H20" s="3"/>
      <c r="I20" s="7"/>
    </row>
    <row r="21" spans="1:9">
      <c r="A21" s="414" t="s">
        <v>305</v>
      </c>
      <c r="B21" s="414"/>
      <c r="C21" s="414"/>
      <c r="D21" s="414"/>
      <c r="E21" s="414"/>
      <c r="F21" s="414"/>
      <c r="G21" s="414"/>
      <c r="H21" s="3"/>
      <c r="I21" s="7"/>
    </row>
    <row r="22" spans="1:9" ht="49.5" customHeight="1">
      <c r="A22" s="169">
        <v>1</v>
      </c>
      <c r="B22" s="369" t="s">
        <v>271</v>
      </c>
      <c r="C22" s="369"/>
      <c r="D22" s="369"/>
      <c r="E22" s="369"/>
      <c r="F22" s="445"/>
      <c r="G22" s="226" t="s">
        <v>353</v>
      </c>
      <c r="H22" s="3"/>
      <c r="I22" s="7"/>
    </row>
    <row r="23" spans="1:9">
      <c r="A23" s="169">
        <v>2</v>
      </c>
      <c r="B23" s="446" t="s">
        <v>54</v>
      </c>
      <c r="C23" s="446"/>
      <c r="D23" s="446"/>
      <c r="E23" s="446"/>
      <c r="F23" s="447"/>
      <c r="G23" s="227" t="s">
        <v>68</v>
      </c>
      <c r="H23" s="3"/>
      <c r="I23" s="7"/>
    </row>
    <row r="24" spans="1:9">
      <c r="A24" s="169">
        <v>3</v>
      </c>
      <c r="B24" s="442" t="s">
        <v>342</v>
      </c>
      <c r="C24" s="442"/>
      <c r="D24" s="442"/>
      <c r="E24" s="442"/>
      <c r="F24" s="442"/>
      <c r="G24" s="228">
        <v>1500.4</v>
      </c>
      <c r="H24" s="3"/>
      <c r="I24" s="8"/>
    </row>
    <row r="25" spans="1:9">
      <c r="A25" s="169">
        <v>4</v>
      </c>
      <c r="B25" s="369" t="s">
        <v>15</v>
      </c>
      <c r="C25" s="369"/>
      <c r="D25" s="369"/>
      <c r="E25" s="369"/>
      <c r="F25" s="369"/>
      <c r="G25" s="149" t="s">
        <v>72</v>
      </c>
      <c r="H25" s="3"/>
      <c r="I25" s="7"/>
    </row>
    <row r="26" spans="1:9">
      <c r="A26" s="169">
        <v>5</v>
      </c>
      <c r="B26" s="369" t="s">
        <v>16</v>
      </c>
      <c r="C26" s="369"/>
      <c r="D26" s="369"/>
      <c r="E26" s="369"/>
      <c r="F26" s="369"/>
      <c r="G26" s="229" t="s">
        <v>73</v>
      </c>
      <c r="H26" s="3"/>
      <c r="I26" s="7"/>
    </row>
    <row r="27" spans="1:9">
      <c r="A27" s="150">
        <v>6</v>
      </c>
      <c r="B27" s="441" t="s">
        <v>77</v>
      </c>
      <c r="C27" s="441"/>
      <c r="D27" s="441"/>
      <c r="E27" s="441"/>
      <c r="F27" s="441"/>
      <c r="G27" s="151">
        <f>G24/220</f>
        <v>6.82</v>
      </c>
      <c r="H27" s="3"/>
      <c r="I27" s="7"/>
    </row>
    <row r="28" spans="1:9">
      <c r="A28" s="150">
        <v>7</v>
      </c>
      <c r="B28" s="441" t="s">
        <v>138</v>
      </c>
      <c r="C28" s="441"/>
      <c r="D28" s="441"/>
      <c r="E28" s="441"/>
      <c r="F28" s="441"/>
      <c r="G28" s="151">
        <f>SUM(G27+G29)</f>
        <v>8.870000000000001</v>
      </c>
      <c r="H28" s="3"/>
      <c r="I28" s="7"/>
    </row>
    <row r="29" spans="1:9">
      <c r="A29" s="150">
        <v>8</v>
      </c>
      <c r="B29" s="441" t="s">
        <v>139</v>
      </c>
      <c r="C29" s="441"/>
      <c r="D29" s="441"/>
      <c r="E29" s="441"/>
      <c r="F29" s="441"/>
      <c r="G29" s="151">
        <f>ROUND(G27*0.3,2)</f>
        <v>2.0499999999999998</v>
      </c>
      <c r="H29" s="3"/>
      <c r="I29" s="7"/>
    </row>
    <row r="30" spans="1:9">
      <c r="A30" s="150">
        <v>9</v>
      </c>
      <c r="B30" s="441" t="s">
        <v>142</v>
      </c>
      <c r="C30" s="441"/>
      <c r="D30" s="441"/>
      <c r="E30" s="441"/>
      <c r="F30" s="441"/>
      <c r="G30" s="151">
        <f>G24*0.3</f>
        <v>450.12</v>
      </c>
      <c r="H30" s="3"/>
      <c r="I30" s="7"/>
    </row>
    <row r="31" spans="1:9">
      <c r="A31" s="152">
        <v>10</v>
      </c>
      <c r="B31" s="437" t="s">
        <v>70</v>
      </c>
      <c r="C31" s="437"/>
      <c r="D31" s="437"/>
      <c r="E31" s="437"/>
      <c r="F31" s="437"/>
      <c r="G31" s="151">
        <f>ROUND(G27*1.5,2)</f>
        <v>10.23</v>
      </c>
      <c r="H31" s="3"/>
      <c r="I31" s="7"/>
    </row>
    <row r="32" spans="1:9">
      <c r="A32" s="152">
        <v>11</v>
      </c>
      <c r="B32" s="437" t="s">
        <v>140</v>
      </c>
      <c r="C32" s="437"/>
      <c r="D32" s="437"/>
      <c r="E32" s="437"/>
      <c r="F32" s="437"/>
      <c r="G32" s="151">
        <f>ROUND(1.3*G27*1.5,2)</f>
        <v>13.3</v>
      </c>
      <c r="H32" s="3"/>
      <c r="I32" s="7"/>
    </row>
    <row r="33" spans="1:9">
      <c r="A33" s="152">
        <v>12</v>
      </c>
      <c r="B33" s="437" t="s">
        <v>246</v>
      </c>
      <c r="C33" s="437"/>
      <c r="D33" s="437"/>
      <c r="E33" s="437"/>
      <c r="F33" s="437"/>
      <c r="G33" s="151">
        <f>ROUND(G27*0.2,2)</f>
        <v>1.36</v>
      </c>
      <c r="H33" s="3"/>
      <c r="I33" s="7"/>
    </row>
    <row r="34" spans="1:9">
      <c r="A34" s="152">
        <v>13</v>
      </c>
      <c r="B34" s="437" t="s">
        <v>141</v>
      </c>
      <c r="C34" s="437"/>
      <c r="D34" s="437"/>
      <c r="E34" s="437"/>
      <c r="F34" s="437"/>
      <c r="G34" s="151">
        <f>ROUND(1.3*G27*0.2,2)</f>
        <v>1.77</v>
      </c>
      <c r="H34" s="3"/>
      <c r="I34" s="7"/>
    </row>
    <row r="35" spans="1:9">
      <c r="A35" s="152">
        <v>14</v>
      </c>
      <c r="B35" s="437" t="s">
        <v>143</v>
      </c>
      <c r="C35" s="437"/>
      <c r="D35" s="437"/>
      <c r="E35" s="437"/>
      <c r="F35" s="437"/>
      <c r="G35" s="151">
        <f>ROUND(G27/6,2)</f>
        <v>1.1399999999999999</v>
      </c>
      <c r="H35" s="3"/>
      <c r="I35" s="7"/>
    </row>
    <row r="36" spans="1:9">
      <c r="A36" s="152">
        <v>15</v>
      </c>
      <c r="B36" s="437" t="s">
        <v>71</v>
      </c>
      <c r="C36" s="437"/>
      <c r="D36" s="437"/>
      <c r="E36" s="437"/>
      <c r="F36" s="437"/>
      <c r="G36" s="153">
        <v>2</v>
      </c>
      <c r="H36" s="3"/>
      <c r="I36" s="7"/>
    </row>
    <row r="37" spans="1:9">
      <c r="A37" s="154" t="s">
        <v>74</v>
      </c>
      <c r="B37" s="438" t="s">
        <v>308</v>
      </c>
      <c r="C37" s="438"/>
      <c r="D37" s="438"/>
      <c r="E37" s="438"/>
      <c r="F37" s="438"/>
      <c r="G37" s="438"/>
      <c r="H37" s="3"/>
      <c r="I37" s="7"/>
    </row>
    <row r="38" spans="1:9">
      <c r="A38" s="154" t="s">
        <v>75</v>
      </c>
      <c r="B38" s="438" t="s">
        <v>307</v>
      </c>
      <c r="C38" s="438"/>
      <c r="D38" s="438"/>
      <c r="E38" s="438"/>
      <c r="F38" s="438"/>
      <c r="G38" s="438"/>
      <c r="H38" s="3"/>
      <c r="I38" s="7"/>
    </row>
    <row r="39" spans="1:9">
      <c r="A39" s="230"/>
      <c r="B39" s="231"/>
      <c r="C39" s="231"/>
      <c r="D39" s="231"/>
      <c r="E39" s="231"/>
      <c r="F39" s="231"/>
      <c r="G39" s="231"/>
      <c r="H39" s="3"/>
      <c r="I39" s="7"/>
    </row>
    <row r="40" spans="1:9">
      <c r="A40" s="158"/>
      <c r="B40" s="232"/>
      <c r="C40" s="232"/>
      <c r="D40" s="232"/>
      <c r="E40" s="232"/>
      <c r="F40" s="232"/>
      <c r="G40" s="232"/>
      <c r="H40" s="3"/>
      <c r="I40" s="7"/>
    </row>
    <row r="41" spans="1:9" ht="15.75">
      <c r="A41" s="439" t="s">
        <v>76</v>
      </c>
      <c r="B41" s="439"/>
      <c r="C41" s="439"/>
      <c r="D41" s="439"/>
      <c r="E41" s="439"/>
      <c r="F41" s="439"/>
      <c r="G41" s="439"/>
      <c r="H41" s="3"/>
      <c r="I41" s="7"/>
    </row>
    <row r="42" spans="1:9">
      <c r="A42" s="211">
        <v>1</v>
      </c>
      <c r="B42" s="440" t="s">
        <v>17</v>
      </c>
      <c r="C42" s="440"/>
      <c r="D42" s="440"/>
      <c r="E42" s="440" t="s">
        <v>20</v>
      </c>
      <c r="F42" s="440"/>
      <c r="G42" s="207" t="s">
        <v>18</v>
      </c>
      <c r="H42" s="3"/>
      <c r="I42" s="7"/>
    </row>
    <row r="43" spans="1:9" ht="30.75" customHeight="1">
      <c r="A43" s="210" t="s">
        <v>8</v>
      </c>
      <c r="B43" s="431" t="s">
        <v>343</v>
      </c>
      <c r="C43" s="431"/>
      <c r="D43" s="431"/>
      <c r="E43" s="431"/>
      <c r="F43" s="431"/>
      <c r="G43" s="233">
        <f>ROUND((G24/220)*180,2)*G36</f>
        <v>2455.1999999999998</v>
      </c>
      <c r="H43" s="11"/>
      <c r="I43" s="12"/>
    </row>
    <row r="44" spans="1:9">
      <c r="A44" s="210" t="s">
        <v>10</v>
      </c>
      <c r="B44" s="432" t="s">
        <v>78</v>
      </c>
      <c r="C44" s="433"/>
      <c r="D44" s="433"/>
      <c r="E44" s="433"/>
      <c r="F44" s="433"/>
      <c r="G44" s="234">
        <f>ROUND($G$35*G36*15,2)</f>
        <v>34.200000000000003</v>
      </c>
      <c r="H44" s="10"/>
      <c r="I44" s="9"/>
    </row>
    <row r="45" spans="1:9">
      <c r="A45" s="155" t="s">
        <v>12</v>
      </c>
      <c r="B45" s="434" t="s">
        <v>276</v>
      </c>
      <c r="C45" s="434"/>
      <c r="D45" s="434"/>
      <c r="E45" s="434"/>
      <c r="F45" s="434"/>
      <c r="G45" s="234">
        <f>ROUND((G44)*0.2,2)</f>
        <v>6.84</v>
      </c>
      <c r="H45" s="10"/>
      <c r="I45" s="9"/>
    </row>
    <row r="46" spans="1:9">
      <c r="A46" s="210" t="s">
        <v>13</v>
      </c>
      <c r="B46" s="433" t="s">
        <v>251</v>
      </c>
      <c r="C46" s="433"/>
      <c r="D46" s="433"/>
      <c r="E46" s="435">
        <v>0.3</v>
      </c>
      <c r="F46" s="436"/>
      <c r="G46" s="156">
        <f>ROUND(E46*SUM(G43:G45),2)</f>
        <v>748.87</v>
      </c>
      <c r="H46" s="10"/>
      <c r="I46" s="9"/>
    </row>
    <row r="47" spans="1:9">
      <c r="A47" s="155" t="s">
        <v>22</v>
      </c>
      <c r="B47" s="434" t="s">
        <v>79</v>
      </c>
      <c r="C47" s="434"/>
      <c r="D47" s="434"/>
      <c r="E47" s="434"/>
      <c r="F47" s="434"/>
      <c r="G47" s="156">
        <v>0</v>
      </c>
      <c r="H47" s="10"/>
      <c r="I47" s="9"/>
    </row>
    <row r="48" spans="1:9">
      <c r="A48" s="428" t="s">
        <v>255</v>
      </c>
      <c r="B48" s="428"/>
      <c r="C48" s="428"/>
      <c r="D48" s="428"/>
      <c r="E48" s="428"/>
      <c r="F48" s="428"/>
      <c r="G48" s="157">
        <f>SUM(G43:G47)</f>
        <v>3245.1099999999997</v>
      </c>
      <c r="H48" s="3"/>
      <c r="I48" s="7"/>
    </row>
    <row r="49" spans="1:9">
      <c r="A49" s="158" t="s">
        <v>23</v>
      </c>
      <c r="B49" s="429" t="s">
        <v>326</v>
      </c>
      <c r="C49" s="429"/>
      <c r="D49" s="429"/>
      <c r="E49" s="429"/>
      <c r="F49" s="429"/>
      <c r="G49" s="159">
        <f>ROUND(G31*15*G36*0.5,2)</f>
        <v>153.44999999999999</v>
      </c>
      <c r="H49" s="3"/>
      <c r="I49" s="7"/>
    </row>
    <row r="50" spans="1:9">
      <c r="A50" s="394" t="s">
        <v>256</v>
      </c>
      <c r="B50" s="394"/>
      <c r="C50" s="394"/>
      <c r="D50" s="394"/>
      <c r="E50" s="394"/>
      <c r="F50" s="394"/>
      <c r="G50" s="160">
        <f>SUM(G49)</f>
        <v>153.44999999999999</v>
      </c>
      <c r="H50" s="3"/>
      <c r="I50" s="7"/>
    </row>
    <row r="51" spans="1:9">
      <c r="A51" s="235"/>
      <c r="B51" s="235"/>
      <c r="C51" s="235"/>
      <c r="D51" s="235"/>
      <c r="E51" s="235"/>
      <c r="F51" s="235"/>
      <c r="G51" s="236"/>
      <c r="H51" s="3"/>
      <c r="I51" s="7"/>
    </row>
    <row r="52" spans="1:9">
      <c r="A52" s="394" t="s">
        <v>250</v>
      </c>
      <c r="B52" s="394"/>
      <c r="C52" s="394"/>
      <c r="D52" s="394"/>
      <c r="E52" s="394"/>
      <c r="F52" s="394"/>
      <c r="G52" s="161">
        <f>G48+G50</f>
        <v>3398.5599999999995</v>
      </c>
      <c r="H52" s="3"/>
      <c r="I52" s="7"/>
    </row>
    <row r="53" spans="1:9">
      <c r="A53" s="154" t="s">
        <v>80</v>
      </c>
      <c r="B53" s="430" t="s">
        <v>317</v>
      </c>
      <c r="C53" s="430"/>
      <c r="D53" s="430"/>
      <c r="E53" s="430"/>
      <c r="F53" s="430"/>
      <c r="G53" s="430"/>
      <c r="H53" s="3"/>
      <c r="I53" s="7"/>
    </row>
    <row r="54" spans="1:9">
      <c r="A54" s="154" t="s">
        <v>84</v>
      </c>
      <c r="B54" s="430" t="s">
        <v>316</v>
      </c>
      <c r="C54" s="430"/>
      <c r="D54" s="430"/>
      <c r="E54" s="430"/>
      <c r="F54" s="430"/>
      <c r="G54" s="430"/>
      <c r="H54" s="3"/>
      <c r="I54" s="7"/>
    </row>
    <row r="55" spans="1:9">
      <c r="A55" s="230"/>
      <c r="B55" s="237"/>
      <c r="C55" s="237"/>
      <c r="D55" s="237"/>
      <c r="E55" s="237"/>
      <c r="F55" s="237"/>
      <c r="G55" s="237"/>
      <c r="H55" s="3"/>
      <c r="I55" s="7"/>
    </row>
    <row r="56" spans="1:9">
      <c r="A56" s="238"/>
      <c r="B56" s="238"/>
      <c r="C56" s="238"/>
      <c r="D56" s="224"/>
      <c r="E56" s="224"/>
      <c r="F56" s="224"/>
      <c r="G56" s="239"/>
      <c r="H56" s="3"/>
      <c r="I56" s="7"/>
    </row>
    <row r="57" spans="1:9" ht="15.75">
      <c r="A57" s="426" t="s">
        <v>81</v>
      </c>
      <c r="B57" s="426"/>
      <c r="C57" s="426"/>
      <c r="D57" s="426"/>
      <c r="E57" s="426"/>
      <c r="F57" s="426"/>
      <c r="G57" s="426"/>
      <c r="H57" s="3"/>
      <c r="I57" s="7"/>
    </row>
    <row r="58" spans="1:9">
      <c r="A58" s="162" t="s">
        <v>37</v>
      </c>
      <c r="B58" s="427" t="s">
        <v>252</v>
      </c>
      <c r="C58" s="427"/>
      <c r="D58" s="427"/>
      <c r="E58" s="427"/>
      <c r="F58" s="427"/>
      <c r="G58" s="213" t="s">
        <v>18</v>
      </c>
      <c r="H58" s="3"/>
      <c r="I58" s="7"/>
    </row>
    <row r="59" spans="1:9">
      <c r="A59" s="210" t="s">
        <v>8</v>
      </c>
      <c r="B59" s="412" t="s">
        <v>309</v>
      </c>
      <c r="C59" s="412"/>
      <c r="D59" s="412"/>
      <c r="E59" s="412"/>
      <c r="F59" s="412"/>
      <c r="G59" s="240">
        <f>ROUND(G48/12,2)</f>
        <v>270.43</v>
      </c>
      <c r="H59" s="16"/>
      <c r="I59" s="15"/>
    </row>
    <row r="60" spans="1:9">
      <c r="A60" s="210" t="s">
        <v>10</v>
      </c>
      <c r="B60" s="412" t="s">
        <v>82</v>
      </c>
      <c r="C60" s="412"/>
      <c r="D60" s="412"/>
      <c r="E60" s="412"/>
      <c r="F60" s="412"/>
      <c r="G60" s="240">
        <f>ROUND((G48+G48/3)/12,2)</f>
        <v>360.57</v>
      </c>
      <c r="H60" s="16"/>
      <c r="I60" s="15"/>
    </row>
    <row r="61" spans="1:9">
      <c r="A61" s="416" t="s">
        <v>83</v>
      </c>
      <c r="B61" s="416"/>
      <c r="C61" s="416"/>
      <c r="D61" s="416"/>
      <c r="E61" s="416"/>
      <c r="F61" s="416"/>
      <c r="G61" s="241">
        <f>SUM(G59:G60)</f>
        <v>631</v>
      </c>
      <c r="H61" s="16"/>
      <c r="I61" s="15"/>
    </row>
    <row r="62" spans="1:9" ht="28.5" customHeight="1">
      <c r="A62" s="163" t="s">
        <v>86</v>
      </c>
      <c r="B62" s="421" t="s">
        <v>310</v>
      </c>
      <c r="C62" s="421"/>
      <c r="D62" s="421"/>
      <c r="E62" s="421"/>
      <c r="F62" s="421"/>
      <c r="G62" s="421"/>
      <c r="H62" s="16"/>
      <c r="I62" s="15"/>
    </row>
    <row r="63" spans="1:9" ht="34.5" customHeight="1">
      <c r="A63" s="163" t="s">
        <v>87</v>
      </c>
      <c r="B63" s="421" t="s">
        <v>88</v>
      </c>
      <c r="C63" s="421"/>
      <c r="D63" s="421"/>
      <c r="E63" s="421"/>
      <c r="F63" s="421"/>
      <c r="G63" s="421"/>
      <c r="H63" s="16"/>
      <c r="I63" s="15"/>
    </row>
    <row r="64" spans="1:9">
      <c r="A64" s="242"/>
      <c r="B64" s="243"/>
      <c r="C64" s="243"/>
      <c r="D64" s="243"/>
      <c r="E64" s="243"/>
      <c r="F64" s="243"/>
      <c r="G64" s="243"/>
      <c r="H64" s="16"/>
      <c r="I64" s="15"/>
    </row>
    <row r="65" spans="1:9">
      <c r="A65" s="224"/>
      <c r="B65" s="224"/>
      <c r="C65" s="224"/>
      <c r="D65" s="244"/>
      <c r="E65" s="245"/>
      <c r="F65" s="245"/>
      <c r="G65" s="245"/>
      <c r="H65" s="3"/>
      <c r="I65" s="7"/>
    </row>
    <row r="66" spans="1:9">
      <c r="A66" s="164" t="s">
        <v>38</v>
      </c>
      <c r="B66" s="422" t="s">
        <v>253</v>
      </c>
      <c r="C66" s="422"/>
      <c r="D66" s="422"/>
      <c r="E66" s="422"/>
      <c r="F66" s="422"/>
      <c r="G66" s="422"/>
      <c r="H66" s="3"/>
      <c r="I66" s="7"/>
    </row>
    <row r="67" spans="1:9">
      <c r="A67" s="246"/>
      <c r="B67" s="423" t="s">
        <v>89</v>
      </c>
      <c r="C67" s="423"/>
      <c r="D67" s="423"/>
      <c r="E67" s="424" t="s">
        <v>20</v>
      </c>
      <c r="F67" s="425"/>
      <c r="G67" s="247" t="s">
        <v>18</v>
      </c>
      <c r="H67" s="3"/>
      <c r="I67" s="7"/>
    </row>
    <row r="68" spans="1:9">
      <c r="A68" s="210" t="s">
        <v>8</v>
      </c>
      <c r="B68" s="412" t="s">
        <v>28</v>
      </c>
      <c r="C68" s="412"/>
      <c r="D68" s="412"/>
      <c r="E68" s="413">
        <v>0.2</v>
      </c>
      <c r="F68" s="414"/>
      <c r="G68" s="240">
        <f>ROUND((G48+G61)*E68,2)</f>
        <v>775.22</v>
      </c>
      <c r="H68" s="16"/>
      <c r="I68" s="15"/>
    </row>
    <row r="69" spans="1:9">
      <c r="A69" s="210" t="s">
        <v>10</v>
      </c>
      <c r="B69" s="412" t="s">
        <v>39</v>
      </c>
      <c r="C69" s="412"/>
      <c r="D69" s="412"/>
      <c r="E69" s="413">
        <v>2.5000000000000001E-2</v>
      </c>
      <c r="F69" s="414"/>
      <c r="G69" s="240">
        <f>ROUND((G48+G61)*E69,2)</f>
        <v>96.9</v>
      </c>
      <c r="H69" s="16"/>
      <c r="I69" s="15"/>
    </row>
    <row r="70" spans="1:9">
      <c r="A70" s="210" t="s">
        <v>12</v>
      </c>
      <c r="B70" s="412" t="s">
        <v>96</v>
      </c>
      <c r="C70" s="412"/>
      <c r="D70" s="412"/>
      <c r="E70" s="413">
        <f>ROUND((H71*I71),6)</f>
        <v>0.03</v>
      </c>
      <c r="F70" s="414"/>
      <c r="G70" s="240">
        <f>ROUND((G48+G61)*E70,2)</f>
        <v>116.28</v>
      </c>
      <c r="H70" s="219" t="s">
        <v>90</v>
      </c>
      <c r="I70" s="39" t="s">
        <v>91</v>
      </c>
    </row>
    <row r="71" spans="1:9">
      <c r="A71" s="210" t="s">
        <v>13</v>
      </c>
      <c r="B71" s="412" t="s">
        <v>40</v>
      </c>
      <c r="C71" s="412"/>
      <c r="D71" s="412"/>
      <c r="E71" s="413">
        <v>1.4999999999999999E-2</v>
      </c>
      <c r="F71" s="414"/>
      <c r="G71" s="240">
        <f>ROUND((G48+G61)*E71,2)</f>
        <v>58.14</v>
      </c>
      <c r="H71" s="220">
        <v>0.03</v>
      </c>
      <c r="I71" s="41">
        <v>1</v>
      </c>
    </row>
    <row r="72" spans="1:9">
      <c r="A72" s="210" t="s">
        <v>22</v>
      </c>
      <c r="B72" s="412" t="s">
        <v>41</v>
      </c>
      <c r="C72" s="412"/>
      <c r="D72" s="412"/>
      <c r="E72" s="413">
        <v>0.01</v>
      </c>
      <c r="F72" s="414"/>
      <c r="G72" s="240">
        <f>ROUND((G48+G61)*E72,2)</f>
        <v>38.76</v>
      </c>
      <c r="H72" s="16"/>
      <c r="I72" s="15"/>
    </row>
    <row r="73" spans="1:9">
      <c r="A73" s="210" t="s">
        <v>23</v>
      </c>
      <c r="B73" s="412" t="s">
        <v>29</v>
      </c>
      <c r="C73" s="412"/>
      <c r="D73" s="412"/>
      <c r="E73" s="413">
        <v>6.0000000000000001E-3</v>
      </c>
      <c r="F73" s="414"/>
      <c r="G73" s="240">
        <f>ROUND((G48+G61)*E73,2)</f>
        <v>23.26</v>
      </c>
      <c r="H73" s="16"/>
      <c r="I73" s="15"/>
    </row>
    <row r="74" spans="1:9">
      <c r="A74" s="210" t="s">
        <v>24</v>
      </c>
      <c r="B74" s="412" t="s">
        <v>42</v>
      </c>
      <c r="C74" s="412"/>
      <c r="D74" s="412"/>
      <c r="E74" s="413">
        <v>2E-3</v>
      </c>
      <c r="F74" s="414"/>
      <c r="G74" s="240">
        <f>ROUND((G48+G61)*E74,2)</f>
        <v>7.75</v>
      </c>
      <c r="H74" s="16"/>
      <c r="I74" s="15"/>
    </row>
    <row r="75" spans="1:9">
      <c r="A75" s="210" t="s">
        <v>25</v>
      </c>
      <c r="B75" s="412" t="s">
        <v>43</v>
      </c>
      <c r="C75" s="412"/>
      <c r="D75" s="412"/>
      <c r="E75" s="413">
        <v>0.08</v>
      </c>
      <c r="F75" s="414"/>
      <c r="G75" s="240">
        <f>ROUND((G48+G61)*E75,2)</f>
        <v>310.08999999999997</v>
      </c>
      <c r="H75" s="16"/>
      <c r="I75" s="15"/>
    </row>
    <row r="76" spans="1:9">
      <c r="A76" s="415" t="s">
        <v>92</v>
      </c>
      <c r="B76" s="416"/>
      <c r="C76" s="416"/>
      <c r="D76" s="416"/>
      <c r="E76" s="417">
        <f>SUM(E68:F75)</f>
        <v>0.36800000000000005</v>
      </c>
      <c r="F76" s="418"/>
      <c r="G76" s="248">
        <f>SUM(G68:G75)</f>
        <v>1426.3999999999999</v>
      </c>
      <c r="H76" s="3"/>
      <c r="I76" s="165"/>
    </row>
    <row r="77" spans="1:9">
      <c r="A77" s="166" t="s">
        <v>93</v>
      </c>
      <c r="B77" s="419" t="s">
        <v>311</v>
      </c>
      <c r="C77" s="419"/>
      <c r="D77" s="419"/>
      <c r="E77" s="419"/>
      <c r="F77" s="419"/>
      <c r="G77" s="419"/>
      <c r="H77" s="3"/>
      <c r="I77" s="165"/>
    </row>
    <row r="78" spans="1:9">
      <c r="A78" s="166" t="s">
        <v>95</v>
      </c>
      <c r="B78" s="420" t="s">
        <v>312</v>
      </c>
      <c r="C78" s="420"/>
      <c r="D78" s="420"/>
      <c r="E78" s="420"/>
      <c r="F78" s="420"/>
      <c r="G78" s="420"/>
      <c r="H78" s="3"/>
      <c r="I78" s="165"/>
    </row>
    <row r="79" spans="1:9">
      <c r="A79" s="249"/>
      <c r="B79" s="250"/>
      <c r="C79" s="250"/>
      <c r="D79" s="250"/>
      <c r="E79" s="250"/>
      <c r="F79" s="250"/>
      <c r="G79" s="250"/>
      <c r="H79" s="3"/>
      <c r="I79" s="165"/>
    </row>
    <row r="80" spans="1:9">
      <c r="A80" s="249"/>
      <c r="B80" s="250"/>
      <c r="C80" s="250"/>
      <c r="D80" s="250"/>
      <c r="E80" s="250"/>
      <c r="F80" s="250"/>
      <c r="G80" s="250"/>
      <c r="H80" s="3"/>
      <c r="I80" s="165"/>
    </row>
    <row r="81" spans="1:9">
      <c r="A81" s="167" t="s">
        <v>44</v>
      </c>
      <c r="B81" s="408" t="s">
        <v>99</v>
      </c>
      <c r="C81" s="408"/>
      <c r="D81" s="408"/>
      <c r="E81" s="408"/>
      <c r="F81" s="408"/>
      <c r="G81" s="408"/>
      <c r="H81" s="3"/>
      <c r="I81" s="7"/>
    </row>
    <row r="82" spans="1:9">
      <c r="A82" s="168"/>
      <c r="B82" s="409" t="s">
        <v>99</v>
      </c>
      <c r="C82" s="409"/>
      <c r="D82" s="409"/>
      <c r="E82" s="409"/>
      <c r="F82" s="409"/>
      <c r="G82" s="251" t="s">
        <v>18</v>
      </c>
      <c r="H82" s="3"/>
      <c r="I82" s="7"/>
    </row>
    <row r="83" spans="1:9" ht="30" customHeight="1">
      <c r="A83" s="375" t="s">
        <v>8</v>
      </c>
      <c r="B83" s="403" t="s">
        <v>345</v>
      </c>
      <c r="C83" s="377" t="s">
        <v>101</v>
      </c>
      <c r="D83" s="377"/>
      <c r="E83" s="410">
        <v>0</v>
      </c>
      <c r="F83" s="411"/>
      <c r="G83" s="406">
        <f>IF(ROUND((E83*E85*E84)-(G43*E86),2)&lt;0,0,ROUND((E83*E85*E84)-(G43*E86),2))</f>
        <v>0</v>
      </c>
      <c r="H83" s="22"/>
      <c r="I83" s="21"/>
    </row>
    <row r="84" spans="1:9" ht="28.5" customHeight="1">
      <c r="A84" s="375"/>
      <c r="B84" s="403"/>
      <c r="C84" s="377" t="s">
        <v>102</v>
      </c>
      <c r="D84" s="377"/>
      <c r="E84" s="398">
        <v>2</v>
      </c>
      <c r="F84" s="399"/>
      <c r="G84" s="406"/>
      <c r="H84" s="22"/>
      <c r="I84" s="21"/>
    </row>
    <row r="85" spans="1:9" ht="29.25" customHeight="1">
      <c r="A85" s="375"/>
      <c r="B85" s="403"/>
      <c r="C85" s="377" t="s">
        <v>103</v>
      </c>
      <c r="D85" s="377"/>
      <c r="E85" s="398">
        <v>30</v>
      </c>
      <c r="F85" s="399"/>
      <c r="G85" s="406"/>
      <c r="H85" s="23"/>
      <c r="I85" s="24"/>
    </row>
    <row r="86" spans="1:9" ht="30.75" customHeight="1">
      <c r="A86" s="375"/>
      <c r="B86" s="403"/>
      <c r="C86" s="377" t="s">
        <v>105</v>
      </c>
      <c r="D86" s="377"/>
      <c r="E86" s="400">
        <v>0.06</v>
      </c>
      <c r="F86" s="401"/>
      <c r="G86" s="406"/>
      <c r="H86" s="22"/>
      <c r="I86" s="24"/>
    </row>
    <row r="87" spans="1:9" ht="31.5" customHeight="1">
      <c r="A87" s="375" t="s">
        <v>10</v>
      </c>
      <c r="B87" s="403" t="s">
        <v>327</v>
      </c>
      <c r="C87" s="377" t="s">
        <v>104</v>
      </c>
      <c r="D87" s="377"/>
      <c r="E87" s="404">
        <v>20</v>
      </c>
      <c r="F87" s="405"/>
      <c r="G87" s="406">
        <f>ROUND((E87*E88)-((E87*E88)*E89),2)</f>
        <v>480</v>
      </c>
      <c r="H87" s="22"/>
      <c r="I87" s="21"/>
    </row>
    <row r="88" spans="1:9" ht="30.75" customHeight="1">
      <c r="A88" s="375"/>
      <c r="B88" s="403"/>
      <c r="C88" s="377" t="s">
        <v>106</v>
      </c>
      <c r="D88" s="377"/>
      <c r="E88" s="398">
        <v>30</v>
      </c>
      <c r="F88" s="399"/>
      <c r="G88" s="406"/>
      <c r="H88" s="22"/>
      <c r="I88" s="21"/>
    </row>
    <row r="89" spans="1:9" ht="40.5" customHeight="1">
      <c r="A89" s="375"/>
      <c r="B89" s="403"/>
      <c r="C89" s="377" t="s">
        <v>107</v>
      </c>
      <c r="D89" s="377"/>
      <c r="E89" s="407">
        <v>0.2</v>
      </c>
      <c r="F89" s="407"/>
      <c r="G89" s="406"/>
      <c r="H89" s="22"/>
      <c r="I89" s="21"/>
    </row>
    <row r="90" spans="1:9">
      <c r="A90" s="169" t="s">
        <v>12</v>
      </c>
      <c r="B90" s="397" t="s">
        <v>26</v>
      </c>
      <c r="C90" s="397"/>
      <c r="D90" s="397"/>
      <c r="E90" s="397"/>
      <c r="F90" s="397"/>
      <c r="G90" s="252">
        <v>0</v>
      </c>
      <c r="H90" s="22"/>
      <c r="I90" s="21"/>
    </row>
    <row r="91" spans="1:9">
      <c r="A91" s="169" t="s">
        <v>13</v>
      </c>
      <c r="B91" s="367" t="s">
        <v>108</v>
      </c>
      <c r="C91" s="367"/>
      <c r="D91" s="367"/>
      <c r="E91" s="367"/>
      <c r="F91" s="367"/>
      <c r="G91" s="252">
        <f>ROUND((G48)*26*0.00023,2)</f>
        <v>19.41</v>
      </c>
      <c r="H91" s="22"/>
      <c r="I91" s="21"/>
    </row>
    <row r="92" spans="1:9">
      <c r="A92" s="169" t="s">
        <v>22</v>
      </c>
      <c r="B92" s="367" t="s">
        <v>109</v>
      </c>
      <c r="C92" s="367"/>
      <c r="D92" s="367"/>
      <c r="E92" s="367"/>
      <c r="F92" s="367"/>
      <c r="G92" s="44">
        <f>ROUND(((($G$43))*0.0052066)/12,2)</f>
        <v>1.07</v>
      </c>
      <c r="H92" s="22"/>
      <c r="I92" s="21"/>
    </row>
    <row r="93" spans="1:9">
      <c r="A93" s="169" t="s">
        <v>23</v>
      </c>
      <c r="B93" s="367" t="s">
        <v>110</v>
      </c>
      <c r="C93" s="367"/>
      <c r="D93" s="367"/>
      <c r="E93" s="367"/>
      <c r="F93" s="367"/>
      <c r="G93" s="44">
        <v>0</v>
      </c>
      <c r="H93" s="22"/>
      <c r="I93" s="21"/>
    </row>
    <row r="94" spans="1:9">
      <c r="A94" s="395" t="s">
        <v>111</v>
      </c>
      <c r="B94" s="395"/>
      <c r="C94" s="395"/>
      <c r="D94" s="395"/>
      <c r="E94" s="395"/>
      <c r="F94" s="395"/>
      <c r="G94" s="170">
        <f>SUM(G83:G93)</f>
        <v>500.48</v>
      </c>
      <c r="H94" s="3"/>
      <c r="I94" s="7"/>
    </row>
    <row r="95" spans="1:9">
      <c r="A95" s="171" t="s">
        <v>98</v>
      </c>
      <c r="B95" s="396" t="s">
        <v>58</v>
      </c>
      <c r="C95" s="396"/>
      <c r="D95" s="396"/>
      <c r="E95" s="396"/>
      <c r="F95" s="396"/>
      <c r="G95" s="396"/>
      <c r="H95" s="3"/>
      <c r="I95" s="7"/>
    </row>
    <row r="96" spans="1:9">
      <c r="A96" s="171" t="s">
        <v>112</v>
      </c>
      <c r="B96" s="396" t="s">
        <v>114</v>
      </c>
      <c r="C96" s="396"/>
      <c r="D96" s="396"/>
      <c r="E96" s="396"/>
      <c r="F96" s="396"/>
      <c r="G96" s="396"/>
      <c r="H96" s="3"/>
      <c r="I96" s="7"/>
    </row>
    <row r="97" spans="1:9">
      <c r="A97" s="253"/>
      <c r="B97" s="254"/>
      <c r="C97" s="254"/>
      <c r="D97" s="254"/>
      <c r="E97" s="254"/>
      <c r="F97" s="254"/>
      <c r="G97" s="254"/>
      <c r="H97" s="3"/>
      <c r="I97" s="7"/>
    </row>
    <row r="98" spans="1:9">
      <c r="A98" s="255"/>
      <c r="B98" s="256"/>
      <c r="C98" s="256"/>
      <c r="D98" s="257"/>
      <c r="E98" s="209"/>
      <c r="F98" s="209"/>
      <c r="G98" s="209"/>
      <c r="H98" s="3"/>
      <c r="I98" s="7"/>
    </row>
    <row r="99" spans="1:9">
      <c r="A99" s="381" t="s">
        <v>115</v>
      </c>
      <c r="B99" s="381"/>
      <c r="C99" s="381"/>
      <c r="D99" s="381"/>
      <c r="E99" s="381"/>
      <c r="F99" s="381"/>
      <c r="G99" s="381"/>
      <c r="H99" s="3"/>
      <c r="I99" s="7"/>
    </row>
    <row r="100" spans="1:9">
      <c r="A100" s="258" t="s">
        <v>116</v>
      </c>
      <c r="B100" s="402" t="s">
        <v>313</v>
      </c>
      <c r="C100" s="402"/>
      <c r="D100" s="402"/>
      <c r="E100" s="402"/>
      <c r="F100" s="402"/>
      <c r="G100" s="197" t="s">
        <v>18</v>
      </c>
      <c r="H100" s="22"/>
      <c r="I100" s="21"/>
    </row>
    <row r="101" spans="1:9">
      <c r="A101" s="169" t="s">
        <v>37</v>
      </c>
      <c r="B101" s="377" t="s">
        <v>53</v>
      </c>
      <c r="C101" s="377"/>
      <c r="D101" s="377"/>
      <c r="E101" s="377"/>
      <c r="F101" s="377"/>
      <c r="G101" s="190">
        <f>G61</f>
        <v>631</v>
      </c>
      <c r="H101" s="22"/>
      <c r="I101" s="21"/>
    </row>
    <row r="102" spans="1:9">
      <c r="A102" s="169" t="s">
        <v>38</v>
      </c>
      <c r="B102" s="377" t="s">
        <v>117</v>
      </c>
      <c r="C102" s="377"/>
      <c r="D102" s="377"/>
      <c r="E102" s="377"/>
      <c r="F102" s="377"/>
      <c r="G102" s="190">
        <f>G76</f>
        <v>1426.3999999999999</v>
      </c>
      <c r="H102" s="22"/>
      <c r="I102" s="21"/>
    </row>
    <row r="103" spans="1:9">
      <c r="A103" s="169" t="s">
        <v>44</v>
      </c>
      <c r="B103" s="367" t="s">
        <v>118</v>
      </c>
      <c r="C103" s="367"/>
      <c r="D103" s="367"/>
      <c r="E103" s="367"/>
      <c r="F103" s="367"/>
      <c r="G103" s="172">
        <f>G94</f>
        <v>500.48</v>
      </c>
      <c r="H103" s="27"/>
      <c r="I103" s="26"/>
    </row>
    <row r="104" spans="1:9">
      <c r="A104" s="394" t="s">
        <v>120</v>
      </c>
      <c r="B104" s="394"/>
      <c r="C104" s="394"/>
      <c r="D104" s="394"/>
      <c r="E104" s="394"/>
      <c r="F104" s="394"/>
      <c r="G104" s="46">
        <f>SUM(G101:G103)</f>
        <v>2557.8799999999997</v>
      </c>
      <c r="H104" s="27"/>
      <c r="I104" s="26"/>
    </row>
    <row r="105" spans="1:9">
      <c r="A105" s="235"/>
      <c r="B105" s="235"/>
      <c r="C105" s="235"/>
      <c r="D105" s="235"/>
      <c r="E105" s="235"/>
      <c r="F105" s="235"/>
      <c r="G105" s="259"/>
      <c r="H105" s="27"/>
      <c r="I105" s="26"/>
    </row>
    <row r="106" spans="1:9">
      <c r="A106" s="260"/>
      <c r="B106" s="261"/>
      <c r="C106" s="261"/>
      <c r="D106" s="158"/>
      <c r="E106" s="158"/>
      <c r="F106" s="158"/>
      <c r="G106" s="158"/>
      <c r="H106" s="27"/>
      <c r="I106" s="26"/>
    </row>
    <row r="107" spans="1:9" ht="15.75">
      <c r="A107" s="380" t="s">
        <v>121</v>
      </c>
      <c r="B107" s="380"/>
      <c r="C107" s="380"/>
      <c r="D107" s="380"/>
      <c r="E107" s="380"/>
      <c r="F107" s="380"/>
      <c r="G107" s="380"/>
      <c r="H107" s="3"/>
      <c r="I107" s="7"/>
    </row>
    <row r="108" spans="1:9">
      <c r="A108" s="262"/>
      <c r="B108" s="393" t="s">
        <v>122</v>
      </c>
      <c r="C108" s="393"/>
      <c r="D108" s="393"/>
      <c r="E108" s="393"/>
      <c r="F108" s="393"/>
      <c r="G108" s="263" t="s">
        <v>18</v>
      </c>
      <c r="H108" s="3"/>
      <c r="I108" s="7"/>
    </row>
    <row r="109" spans="1:9">
      <c r="A109" s="158" t="s">
        <v>8</v>
      </c>
      <c r="B109" s="367" t="s">
        <v>336</v>
      </c>
      <c r="C109" s="369"/>
      <c r="D109" s="369"/>
      <c r="E109" s="369"/>
      <c r="F109" s="369"/>
      <c r="G109" s="264">
        <f>ROUND(((G48/12)+($G$59/12)+($G$60/12))*(33/30)*0.05,2)</f>
        <v>17.77</v>
      </c>
      <c r="H109" s="3"/>
      <c r="I109" s="7"/>
    </row>
    <row r="110" spans="1:9">
      <c r="A110" s="158" t="s">
        <v>10</v>
      </c>
      <c r="B110" s="369" t="s">
        <v>32</v>
      </c>
      <c r="C110" s="369"/>
      <c r="D110" s="369"/>
      <c r="E110" s="369"/>
      <c r="F110" s="369"/>
      <c r="G110" s="264">
        <f>ROUND($E$75*G109,2)</f>
        <v>1.42</v>
      </c>
      <c r="H110" s="3"/>
      <c r="I110" s="7"/>
    </row>
    <row r="111" spans="1:9">
      <c r="A111" s="158" t="s">
        <v>12</v>
      </c>
      <c r="B111" s="369" t="s">
        <v>123</v>
      </c>
      <c r="C111" s="369"/>
      <c r="D111" s="369"/>
      <c r="E111" s="369"/>
      <c r="F111" s="369"/>
      <c r="G111" s="264">
        <f>ROUND((0.08*0.4*SUM(G48+$G$59+$G$60)*0.05),2)</f>
        <v>6.2</v>
      </c>
      <c r="H111" s="173"/>
      <c r="I111" s="7"/>
    </row>
    <row r="112" spans="1:9">
      <c r="A112" s="158" t="s">
        <v>13</v>
      </c>
      <c r="B112" s="369" t="s">
        <v>337</v>
      </c>
      <c r="C112" s="369"/>
      <c r="D112" s="369"/>
      <c r="E112" s="369"/>
      <c r="F112" s="369"/>
      <c r="G112" s="265">
        <f>ROUND(((7/33)/$G$13)*G48*1,2)</f>
        <v>22.95</v>
      </c>
      <c r="H112" s="3"/>
      <c r="I112" s="7"/>
    </row>
    <row r="113" spans="1:9">
      <c r="A113" s="158" t="s">
        <v>22</v>
      </c>
      <c r="B113" s="369" t="s">
        <v>125</v>
      </c>
      <c r="C113" s="369"/>
      <c r="D113" s="369"/>
      <c r="E113" s="369"/>
      <c r="F113" s="369"/>
      <c r="G113" s="264">
        <f>ROUND($E$76*G112,2)</f>
        <v>8.4499999999999993</v>
      </c>
      <c r="H113" s="3"/>
      <c r="I113" s="7"/>
    </row>
    <row r="114" spans="1:9">
      <c r="A114" s="158" t="s">
        <v>23</v>
      </c>
      <c r="B114" s="369" t="s">
        <v>124</v>
      </c>
      <c r="C114" s="369"/>
      <c r="D114" s="369"/>
      <c r="E114" s="369"/>
      <c r="F114" s="369"/>
      <c r="G114" s="266">
        <f>ROUND((0.08*0.4*SUM(G48+$G$59+$G$60)*1),2)</f>
        <v>124.04</v>
      </c>
      <c r="H114" s="27"/>
      <c r="I114" s="26"/>
    </row>
    <row r="115" spans="1:9">
      <c r="A115" s="382" t="s">
        <v>126</v>
      </c>
      <c r="B115" s="382"/>
      <c r="C115" s="382"/>
      <c r="D115" s="382"/>
      <c r="E115" s="382"/>
      <c r="F115" s="382"/>
      <c r="G115" s="47">
        <f>SUM(G109:G114)</f>
        <v>180.82999999999998</v>
      </c>
      <c r="H115" s="3"/>
      <c r="I115" s="7"/>
    </row>
    <row r="116" spans="1:9">
      <c r="A116" s="235"/>
      <c r="B116" s="235"/>
      <c r="C116" s="235"/>
      <c r="D116" s="235"/>
      <c r="E116" s="235"/>
      <c r="F116" s="235"/>
      <c r="G116" s="259"/>
      <c r="H116" s="3"/>
      <c r="I116" s="7"/>
    </row>
    <row r="117" spans="1:9">
      <c r="A117" s="255"/>
      <c r="B117" s="255"/>
      <c r="C117" s="255"/>
      <c r="D117" s="158"/>
      <c r="E117" s="158"/>
      <c r="F117" s="158"/>
      <c r="G117" s="158"/>
      <c r="H117" s="3"/>
      <c r="I117" s="7"/>
    </row>
    <row r="118" spans="1:9" ht="15.75">
      <c r="A118" s="380" t="s">
        <v>314</v>
      </c>
      <c r="B118" s="380"/>
      <c r="C118" s="380"/>
      <c r="D118" s="380"/>
      <c r="E118" s="380"/>
      <c r="F118" s="380"/>
      <c r="G118" s="380"/>
      <c r="H118" s="174"/>
      <c r="I118" s="7"/>
    </row>
    <row r="119" spans="1:9" ht="15.75">
      <c r="A119" s="391" t="s">
        <v>128</v>
      </c>
      <c r="B119" s="391"/>
      <c r="C119" s="391"/>
      <c r="D119" s="391"/>
      <c r="E119" s="391"/>
      <c r="F119" s="391"/>
      <c r="G119" s="391"/>
      <c r="H119" s="174"/>
      <c r="I119" s="7"/>
    </row>
    <row r="120" spans="1:9" ht="31.5">
      <c r="A120" s="202" t="s">
        <v>344</v>
      </c>
      <c r="B120" s="200">
        <f>G48</f>
        <v>3245.1099999999997</v>
      </c>
      <c r="C120" s="202" t="s">
        <v>319</v>
      </c>
      <c r="D120" s="201">
        <f>G104-G83-G87</f>
        <v>2077.8799999999997</v>
      </c>
      <c r="E120" s="212" t="s">
        <v>127</v>
      </c>
      <c r="F120" s="175">
        <f>G115</f>
        <v>180.82999999999998</v>
      </c>
      <c r="G120" s="176">
        <f>B120+D120+F120</f>
        <v>5503.82</v>
      </c>
      <c r="H120" s="174"/>
      <c r="I120" s="7"/>
    </row>
    <row r="121" spans="1:9" ht="15.75">
      <c r="A121" s="392" t="s">
        <v>129</v>
      </c>
      <c r="B121" s="392"/>
      <c r="C121" s="392"/>
      <c r="D121" s="392"/>
      <c r="E121" s="392" t="s">
        <v>130</v>
      </c>
      <c r="F121" s="392"/>
      <c r="G121" s="177">
        <f>ROUND(G120/30,2)</f>
        <v>183.46</v>
      </c>
      <c r="H121" s="174"/>
      <c r="I121" s="7"/>
    </row>
    <row r="122" spans="1:9" ht="15.75">
      <c r="A122" s="267"/>
      <c r="B122" s="267"/>
      <c r="C122" s="267"/>
      <c r="D122" s="267"/>
      <c r="E122" s="267"/>
      <c r="F122" s="267"/>
      <c r="G122" s="267"/>
      <c r="H122" s="174"/>
      <c r="I122" s="7"/>
    </row>
    <row r="123" spans="1:9">
      <c r="A123" s="178" t="s">
        <v>27</v>
      </c>
      <c r="B123" s="386" t="s">
        <v>147</v>
      </c>
      <c r="C123" s="386"/>
      <c r="D123" s="386"/>
      <c r="E123" s="386"/>
      <c r="F123" s="386"/>
      <c r="G123" s="55" t="s">
        <v>18</v>
      </c>
      <c r="H123" s="3"/>
      <c r="I123" s="7"/>
    </row>
    <row r="124" spans="1:9">
      <c r="A124" s="158" t="s">
        <v>8</v>
      </c>
      <c r="B124" s="367" t="s">
        <v>131</v>
      </c>
      <c r="C124" s="369"/>
      <c r="D124" s="369"/>
      <c r="E124" s="369"/>
      <c r="F124" s="369"/>
      <c r="G124" s="179">
        <f>ROUND($G$120/12,2)</f>
        <v>458.65</v>
      </c>
      <c r="H124" s="3"/>
      <c r="I124" s="7"/>
    </row>
    <row r="125" spans="1:9">
      <c r="A125" s="158" t="s">
        <v>10</v>
      </c>
      <c r="B125" s="367" t="s">
        <v>324</v>
      </c>
      <c r="C125" s="369"/>
      <c r="D125" s="369"/>
      <c r="E125" s="369"/>
      <c r="F125" s="369"/>
      <c r="G125" s="179">
        <f>ROUND((2.59/30)/12*($G$120),2)</f>
        <v>39.6</v>
      </c>
      <c r="H125" s="180"/>
      <c r="I125" s="7"/>
    </row>
    <row r="126" spans="1:9">
      <c r="A126" s="158" t="s">
        <v>12</v>
      </c>
      <c r="B126" s="367" t="s">
        <v>133</v>
      </c>
      <c r="C126" s="369"/>
      <c r="D126" s="369"/>
      <c r="E126" s="369"/>
      <c r="F126" s="369"/>
      <c r="G126" s="179">
        <f>ROUND((5/30)/12*0.015*($G$120),2)</f>
        <v>1.1499999999999999</v>
      </c>
      <c r="H126" s="3"/>
      <c r="I126" s="7"/>
    </row>
    <row r="127" spans="1:9">
      <c r="A127" s="158" t="s">
        <v>13</v>
      </c>
      <c r="B127" s="367" t="s">
        <v>132</v>
      </c>
      <c r="C127" s="369"/>
      <c r="D127" s="369"/>
      <c r="E127" s="369"/>
      <c r="F127" s="369"/>
      <c r="G127" s="179">
        <f>ROUND(((15/30)/12)*0.0078*($G$120),2)</f>
        <v>1.79</v>
      </c>
      <c r="H127" s="180"/>
      <c r="I127" s="7"/>
    </row>
    <row r="128" spans="1:9">
      <c r="A128" s="158" t="s">
        <v>22</v>
      </c>
      <c r="B128" s="367" t="s">
        <v>134</v>
      </c>
      <c r="C128" s="369"/>
      <c r="D128" s="369"/>
      <c r="E128" s="369"/>
      <c r="F128" s="369"/>
      <c r="G128" s="181">
        <f>ROUND((((G48+G48/3)/12+(G76+G94+G115))*4/12)*0.02,2)</f>
        <v>16.46</v>
      </c>
      <c r="H128" s="182"/>
      <c r="I128" s="183"/>
    </row>
    <row r="129" spans="1:9">
      <c r="A129" s="268" t="s">
        <v>23</v>
      </c>
      <c r="B129" s="384" t="s">
        <v>135</v>
      </c>
      <c r="C129" s="384"/>
      <c r="D129" s="384"/>
      <c r="E129" s="384"/>
      <c r="F129" s="384"/>
      <c r="G129" s="181">
        <f>ROUND(((3/30)/12)*($G$120),2)</f>
        <v>45.87</v>
      </c>
      <c r="H129" s="182"/>
      <c r="I129" s="183"/>
    </row>
    <row r="130" spans="1:9">
      <c r="A130" s="385" t="s">
        <v>136</v>
      </c>
      <c r="B130" s="385"/>
      <c r="C130" s="385"/>
      <c r="D130" s="385"/>
      <c r="E130" s="385"/>
      <c r="F130" s="385"/>
      <c r="G130" s="184">
        <f>SUM(G124:G129)</f>
        <v>563.52</v>
      </c>
      <c r="H130" s="3"/>
      <c r="I130" s="7"/>
    </row>
    <row r="131" spans="1:9">
      <c r="A131" s="224"/>
      <c r="B131" s="224"/>
      <c r="C131" s="224"/>
      <c r="D131" s="244"/>
      <c r="E131" s="245"/>
      <c r="F131" s="245"/>
      <c r="G131" s="245"/>
      <c r="H131" s="174"/>
      <c r="I131" s="7"/>
    </row>
    <row r="132" spans="1:9">
      <c r="A132" s="178" t="s">
        <v>30</v>
      </c>
      <c r="B132" s="386" t="s">
        <v>137</v>
      </c>
      <c r="C132" s="386"/>
      <c r="D132" s="386"/>
      <c r="E132" s="386"/>
      <c r="F132" s="386"/>
      <c r="G132" s="55" t="s">
        <v>18</v>
      </c>
      <c r="H132" s="3"/>
      <c r="I132" s="7"/>
    </row>
    <row r="133" spans="1:9">
      <c r="A133" s="158" t="s">
        <v>8</v>
      </c>
      <c r="B133" s="387" t="s">
        <v>262</v>
      </c>
      <c r="C133" s="388"/>
      <c r="D133" s="388"/>
      <c r="E133" s="388"/>
      <c r="F133" s="388"/>
      <c r="G133" s="269">
        <v>0</v>
      </c>
      <c r="H133" s="3"/>
      <c r="I133" s="7"/>
    </row>
    <row r="134" spans="1:9">
      <c r="A134" s="389" t="s">
        <v>315</v>
      </c>
      <c r="B134" s="389"/>
      <c r="C134" s="389"/>
      <c r="D134" s="389"/>
      <c r="E134" s="389"/>
      <c r="F134" s="389"/>
      <c r="G134" s="56">
        <f>SUM(G133:G133)</f>
        <v>0</v>
      </c>
      <c r="H134" s="3"/>
      <c r="I134" s="7"/>
    </row>
    <row r="135" spans="1:9">
      <c r="A135" s="270"/>
      <c r="B135" s="188"/>
      <c r="C135" s="271"/>
      <c r="D135" s="257"/>
      <c r="E135" s="257"/>
      <c r="F135" s="257"/>
      <c r="G135" s="257"/>
      <c r="H135" s="3"/>
      <c r="I135" s="7"/>
    </row>
    <row r="136" spans="1:9">
      <c r="A136" s="390" t="s">
        <v>145</v>
      </c>
      <c r="B136" s="390"/>
      <c r="C136" s="390"/>
      <c r="D136" s="390"/>
      <c r="E136" s="390"/>
      <c r="F136" s="390"/>
      <c r="G136" s="390"/>
      <c r="H136" s="27"/>
      <c r="I136" s="26"/>
    </row>
    <row r="137" spans="1:9">
      <c r="A137" s="162" t="s">
        <v>146</v>
      </c>
      <c r="B137" s="381" t="s">
        <v>122</v>
      </c>
      <c r="C137" s="381"/>
      <c r="D137" s="381"/>
      <c r="E137" s="381"/>
      <c r="F137" s="381"/>
      <c r="G137" s="214" t="s">
        <v>18</v>
      </c>
      <c r="H137" s="27"/>
      <c r="I137" s="26"/>
    </row>
    <row r="138" spans="1:9">
      <c r="A138" s="270" t="s">
        <v>27</v>
      </c>
      <c r="B138" s="379" t="s">
        <v>147</v>
      </c>
      <c r="C138" s="379"/>
      <c r="D138" s="379"/>
      <c r="E138" s="379"/>
      <c r="F138" s="379"/>
      <c r="G138" s="272">
        <f>G130</f>
        <v>563.52</v>
      </c>
      <c r="H138" s="3"/>
      <c r="I138" s="7"/>
    </row>
    <row r="139" spans="1:9">
      <c r="A139" s="270" t="s">
        <v>30</v>
      </c>
      <c r="B139" s="379" t="s">
        <v>137</v>
      </c>
      <c r="C139" s="379"/>
      <c r="D139" s="379"/>
      <c r="E139" s="379"/>
      <c r="F139" s="379"/>
      <c r="G139" s="172">
        <f>G134</f>
        <v>0</v>
      </c>
      <c r="H139" s="27"/>
      <c r="I139" s="26"/>
    </row>
    <row r="140" spans="1:9">
      <c r="A140" s="382" t="s">
        <v>148</v>
      </c>
      <c r="B140" s="382"/>
      <c r="C140" s="382"/>
      <c r="D140" s="382"/>
      <c r="E140" s="382"/>
      <c r="F140" s="382"/>
      <c r="G140" s="185">
        <f>SUM(G138:G139)</f>
        <v>563.52</v>
      </c>
      <c r="H140" s="3"/>
      <c r="I140" s="7"/>
    </row>
    <row r="141" spans="1:9" ht="34.5" customHeight="1">
      <c r="A141" s="186" t="s">
        <v>113</v>
      </c>
      <c r="B141" s="383" t="s">
        <v>259</v>
      </c>
      <c r="C141" s="383"/>
      <c r="D141" s="383"/>
      <c r="E141" s="383"/>
      <c r="F141" s="383"/>
      <c r="G141" s="383"/>
      <c r="H141" s="3"/>
      <c r="I141" s="7"/>
    </row>
    <row r="142" spans="1:9">
      <c r="A142" s="255"/>
      <c r="B142" s="255"/>
      <c r="C142" s="255"/>
      <c r="D142" s="244"/>
      <c r="E142" s="245"/>
      <c r="F142" s="245"/>
      <c r="G142" s="245"/>
      <c r="H142" s="174"/>
      <c r="I142" s="7"/>
    </row>
    <row r="143" spans="1:9" ht="15.75">
      <c r="A143" s="380" t="s">
        <v>189</v>
      </c>
      <c r="B143" s="380"/>
      <c r="C143" s="380"/>
      <c r="D143" s="380"/>
      <c r="E143" s="380"/>
      <c r="F143" s="380"/>
      <c r="G143" s="380"/>
      <c r="H143" s="3"/>
      <c r="I143" s="7"/>
    </row>
    <row r="144" spans="1:9">
      <c r="A144" s="187"/>
      <c r="B144" s="378" t="s">
        <v>122</v>
      </c>
      <c r="C144" s="378"/>
      <c r="D144" s="378"/>
      <c r="E144" s="378"/>
      <c r="F144" s="378"/>
      <c r="G144" s="56" t="s">
        <v>18</v>
      </c>
      <c r="H144" s="3"/>
      <c r="I144" s="7"/>
    </row>
    <row r="145" spans="1:9">
      <c r="A145" s="188" t="s">
        <v>8</v>
      </c>
      <c r="B145" s="379" t="s">
        <v>190</v>
      </c>
      <c r="C145" s="379"/>
      <c r="D145" s="379"/>
      <c r="E145" s="379"/>
      <c r="F145" s="379"/>
      <c r="G145" s="189">
        <f>'SA. UNIFORMES E EQUIPAMENTOS'!H13</f>
        <v>124.00533333333334</v>
      </c>
      <c r="H145" s="3"/>
      <c r="I145" s="7"/>
    </row>
    <row r="146" spans="1:9">
      <c r="A146" s="188" t="s">
        <v>10</v>
      </c>
      <c r="B146" s="379" t="s">
        <v>191</v>
      </c>
      <c r="C146" s="379"/>
      <c r="D146" s="379"/>
      <c r="E146" s="379"/>
      <c r="F146" s="379"/>
      <c r="G146" s="190">
        <f>'SA. UNIFORMES E EQUIPAMENTOS'!H24</f>
        <v>6.1016666666666666</v>
      </c>
      <c r="H146" s="3"/>
      <c r="I146" s="7"/>
    </row>
    <row r="147" spans="1:9">
      <c r="A147" s="169" t="s">
        <v>12</v>
      </c>
      <c r="B147" s="367" t="s">
        <v>192</v>
      </c>
      <c r="C147" s="367"/>
      <c r="D147" s="367"/>
      <c r="E147" s="367"/>
      <c r="F147" s="367"/>
      <c r="G147" s="172">
        <v>0</v>
      </c>
      <c r="H147" s="3"/>
      <c r="I147" s="7"/>
    </row>
    <row r="148" spans="1:9">
      <c r="A148" s="370" t="s">
        <v>193</v>
      </c>
      <c r="B148" s="370"/>
      <c r="C148" s="370"/>
      <c r="D148" s="370"/>
      <c r="E148" s="370"/>
      <c r="F148" s="370"/>
      <c r="G148" s="47">
        <f>SUM(G145:G147)</f>
        <v>130.107</v>
      </c>
      <c r="H148" s="3"/>
      <c r="I148" s="7"/>
    </row>
    <row r="149" spans="1:9">
      <c r="A149" s="158"/>
      <c r="B149" s="209"/>
      <c r="C149" s="209"/>
      <c r="D149" s="244"/>
      <c r="E149" s="245"/>
      <c r="F149" s="245"/>
      <c r="G149" s="245"/>
      <c r="H149" s="174"/>
      <c r="I149" s="7"/>
    </row>
    <row r="150" spans="1:9" ht="15.75">
      <c r="A150" s="380" t="s">
        <v>194</v>
      </c>
      <c r="B150" s="380"/>
      <c r="C150" s="380"/>
      <c r="D150" s="380"/>
      <c r="E150" s="380"/>
      <c r="F150" s="380"/>
      <c r="G150" s="380"/>
      <c r="H150" s="174"/>
      <c r="I150" s="26"/>
    </row>
    <row r="151" spans="1:9">
      <c r="A151" s="191"/>
      <c r="B151" s="376" t="s">
        <v>45</v>
      </c>
      <c r="C151" s="376"/>
      <c r="D151" s="376"/>
      <c r="E151" s="376"/>
      <c r="F151" s="95" t="s">
        <v>20</v>
      </c>
      <c r="G151" s="95" t="s">
        <v>18</v>
      </c>
      <c r="H151" s="174"/>
      <c r="I151" s="7"/>
    </row>
    <row r="152" spans="1:9" ht="38.25" customHeight="1">
      <c r="A152" s="377" t="s">
        <v>195</v>
      </c>
      <c r="B152" s="377"/>
      <c r="C152" s="377"/>
      <c r="D152" s="377"/>
      <c r="E152" s="377"/>
      <c r="F152" s="377"/>
      <c r="G152" s="192">
        <f>SUM(G48+G104+G115+G140+G148)</f>
        <v>6677.4470000000001</v>
      </c>
      <c r="H152" s="174"/>
      <c r="I152" s="7"/>
    </row>
    <row r="153" spans="1:9">
      <c r="A153" s="193" t="s">
        <v>8</v>
      </c>
      <c r="B153" s="372" t="s">
        <v>46</v>
      </c>
      <c r="C153" s="372"/>
      <c r="D153" s="372"/>
      <c r="E153" s="372"/>
      <c r="F153" s="203">
        <v>0.1467</v>
      </c>
      <c r="G153" s="101">
        <f>ROUND(F153*G152,2)</f>
        <v>979.58</v>
      </c>
      <c r="H153" s="174"/>
      <c r="I153" s="7"/>
    </row>
    <row r="154" spans="1:9" ht="36" customHeight="1">
      <c r="A154" s="377" t="s">
        <v>196</v>
      </c>
      <c r="B154" s="377"/>
      <c r="C154" s="377"/>
      <c r="D154" s="377"/>
      <c r="E154" s="377"/>
      <c r="F154" s="377"/>
      <c r="G154" s="194">
        <f>SUM(G48+G104+G115+G140+G148+G153)</f>
        <v>7657.027</v>
      </c>
      <c r="H154" s="174"/>
      <c r="I154" s="26"/>
    </row>
    <row r="155" spans="1:9">
      <c r="A155" s="193" t="s">
        <v>10</v>
      </c>
      <c r="B155" s="372" t="s">
        <v>47</v>
      </c>
      <c r="C155" s="372"/>
      <c r="D155" s="372"/>
      <c r="E155" s="372"/>
      <c r="F155" s="203">
        <v>0.13400000000000001</v>
      </c>
      <c r="G155" s="99">
        <f>ROUND(F155*G154,2)</f>
        <v>1026.04</v>
      </c>
      <c r="H155" s="174"/>
      <c r="I155" s="26"/>
    </row>
    <row r="156" spans="1:9" ht="38.25" customHeight="1">
      <c r="A156" s="377" t="s">
        <v>197</v>
      </c>
      <c r="B156" s="377"/>
      <c r="C156" s="377"/>
      <c r="D156" s="377"/>
      <c r="E156" s="377"/>
      <c r="F156" s="377"/>
      <c r="G156" s="192">
        <f>SUM(G48+G104+G115+G140+G148+G153+G155)</f>
        <v>8683.0669999999991</v>
      </c>
      <c r="H156" s="174"/>
      <c r="I156" s="26"/>
    </row>
    <row r="157" spans="1:9">
      <c r="A157" s="193" t="s">
        <v>12</v>
      </c>
      <c r="B157" s="372" t="s">
        <v>48</v>
      </c>
      <c r="C157" s="372"/>
      <c r="D157" s="372"/>
      <c r="E157" s="372"/>
      <c r="F157" s="97">
        <f>SUM(F158:F161)</f>
        <v>0.1225</v>
      </c>
      <c r="G157" s="197">
        <f>SUM(G158:G161)</f>
        <v>1212.17</v>
      </c>
      <c r="H157" s="373" t="s">
        <v>264</v>
      </c>
      <c r="I157" s="374"/>
    </row>
    <row r="158" spans="1:9">
      <c r="A158" s="375" t="s">
        <v>200</v>
      </c>
      <c r="B158" s="367" t="s">
        <v>203</v>
      </c>
      <c r="C158" s="367"/>
      <c r="D158" s="369" t="s">
        <v>34</v>
      </c>
      <c r="E158" s="369"/>
      <c r="F158" s="100">
        <f>IF(E8=1,0.0165,IF(E8=2,0.0065,IF(E8=3,I160,IF(E8=4,I160,¨RT Indefinido¨))))</f>
        <v>1.6500000000000001E-2</v>
      </c>
      <c r="G158" s="192">
        <f>ROUND(($G$156/(1-$F$157))*F158,2)</f>
        <v>163.27000000000001</v>
      </c>
      <c r="H158" s="221" t="s">
        <v>265</v>
      </c>
      <c r="I158" s="115" t="s">
        <v>266</v>
      </c>
    </row>
    <row r="159" spans="1:9">
      <c r="A159" s="375"/>
      <c r="B159" s="367"/>
      <c r="C159" s="367"/>
      <c r="D159" s="369" t="s">
        <v>198</v>
      </c>
      <c r="E159" s="369"/>
      <c r="F159" s="100">
        <f>IF(E8=1,0.076,IF(E8=2,0.03,IF(E8=3,I159,IF(E8=4,I159,¨RT Indefinido¨))))</f>
        <v>7.5999999999999998E-2</v>
      </c>
      <c r="G159" s="192">
        <f>ROUND(($G$156/(1-$F$157))*F159,2)</f>
        <v>752.04</v>
      </c>
      <c r="H159" s="222" t="s">
        <v>198</v>
      </c>
      <c r="I159" s="116">
        <v>0</v>
      </c>
    </row>
    <row r="160" spans="1:9">
      <c r="A160" s="169" t="s">
        <v>201</v>
      </c>
      <c r="B160" s="367" t="s">
        <v>204</v>
      </c>
      <c r="C160" s="367"/>
      <c r="D160" s="368" t="s">
        <v>206</v>
      </c>
      <c r="E160" s="369"/>
      <c r="F160" s="100">
        <v>0</v>
      </c>
      <c r="G160" s="192">
        <v>0</v>
      </c>
      <c r="H160" s="222" t="s">
        <v>34</v>
      </c>
      <c r="I160" s="116">
        <v>0</v>
      </c>
    </row>
    <row r="161" spans="1:9">
      <c r="A161" s="169" t="s">
        <v>202</v>
      </c>
      <c r="B161" s="367" t="s">
        <v>205</v>
      </c>
      <c r="C161" s="367"/>
      <c r="D161" s="369" t="s">
        <v>199</v>
      </c>
      <c r="E161" s="369"/>
      <c r="F161" s="204">
        <v>0.03</v>
      </c>
      <c r="G161" s="172">
        <f>ROUND(($G$156/(1-$F$157))*F161,2)</f>
        <v>296.86</v>
      </c>
      <c r="H161" s="222" t="s">
        <v>267</v>
      </c>
      <c r="I161" s="116">
        <v>0</v>
      </c>
    </row>
    <row r="162" spans="1:9">
      <c r="A162" s="370" t="s">
        <v>207</v>
      </c>
      <c r="B162" s="370"/>
      <c r="C162" s="370"/>
      <c r="D162" s="370"/>
      <c r="E162" s="370"/>
      <c r="F162" s="370"/>
      <c r="G162" s="195">
        <f>SUM(G153+G155+G157)</f>
        <v>3217.79</v>
      </c>
      <c r="H162" s="27"/>
      <c r="I162" s="26"/>
    </row>
    <row r="163" spans="1:9">
      <c r="A163" s="196" t="s">
        <v>208</v>
      </c>
      <c r="B163" s="371" t="s">
        <v>209</v>
      </c>
      <c r="C163" s="371"/>
      <c r="D163" s="371"/>
      <c r="E163" s="371"/>
      <c r="F163" s="371"/>
      <c r="G163" s="371"/>
      <c r="H163" s="27"/>
      <c r="I163" s="26"/>
    </row>
    <row r="164" spans="1:9">
      <c r="A164" s="363" t="s">
        <v>215</v>
      </c>
      <c r="B164" s="364" t="s">
        <v>210</v>
      </c>
      <c r="C164" s="365" t="s">
        <v>211</v>
      </c>
      <c r="D164" s="365"/>
      <c r="E164" s="273"/>
      <c r="F164" s="274"/>
      <c r="G164" s="275"/>
      <c r="H164" s="27"/>
      <c r="I164" s="26"/>
    </row>
    <row r="165" spans="1:9">
      <c r="A165" s="363"/>
      <c r="B165" s="364"/>
      <c r="C165" s="365" t="s">
        <v>212</v>
      </c>
      <c r="D165" s="365"/>
      <c r="E165" s="276" t="s">
        <v>214</v>
      </c>
      <c r="F165" s="274"/>
      <c r="G165" s="275"/>
      <c r="H165" s="27"/>
      <c r="I165" s="26"/>
    </row>
    <row r="166" spans="1:9">
      <c r="A166" s="363"/>
      <c r="B166" s="364"/>
      <c r="C166" s="365" t="s">
        <v>213</v>
      </c>
      <c r="D166" s="365"/>
      <c r="E166" s="273"/>
      <c r="F166" s="274"/>
      <c r="G166" s="275"/>
      <c r="H166" s="27"/>
      <c r="I166" s="26"/>
    </row>
    <row r="167" spans="1:9">
      <c r="A167" s="277"/>
      <c r="B167" s="278"/>
      <c r="C167" s="279"/>
      <c r="D167" s="279"/>
      <c r="E167" s="280"/>
      <c r="F167" s="281"/>
      <c r="G167" s="282"/>
      <c r="H167" s="27"/>
      <c r="I167" s="26"/>
    </row>
    <row r="168" spans="1:9">
      <c r="A168" s="260"/>
      <c r="B168" s="283"/>
      <c r="C168" s="283"/>
      <c r="D168" s="284"/>
      <c r="E168" s="284"/>
      <c r="F168" s="284"/>
      <c r="G168" s="284"/>
      <c r="H168" s="3"/>
      <c r="I168" s="7"/>
    </row>
    <row r="169" spans="1:9">
      <c r="A169" s="366" t="s">
        <v>216</v>
      </c>
      <c r="B169" s="366"/>
      <c r="C169" s="366"/>
      <c r="D169" s="366"/>
      <c r="E169" s="366"/>
      <c r="F169" s="366"/>
      <c r="G169" s="366"/>
      <c r="H169" s="3"/>
      <c r="I169" s="7"/>
    </row>
    <row r="170" spans="1:9">
      <c r="A170" s="362" t="s">
        <v>217</v>
      </c>
      <c r="B170" s="362"/>
      <c r="C170" s="362"/>
      <c r="D170" s="362"/>
      <c r="E170" s="362"/>
      <c r="F170" s="362"/>
      <c r="G170" s="197" t="s">
        <v>18</v>
      </c>
      <c r="H170" s="3"/>
      <c r="I170" s="7"/>
    </row>
    <row r="171" spans="1:9">
      <c r="A171" s="158" t="s">
        <v>8</v>
      </c>
      <c r="B171" s="360" t="s">
        <v>56</v>
      </c>
      <c r="C171" s="360"/>
      <c r="D171" s="360"/>
      <c r="E171" s="360"/>
      <c r="F171" s="360"/>
      <c r="G171" s="190">
        <f>G48</f>
        <v>3245.1099999999997</v>
      </c>
      <c r="H171" s="3"/>
      <c r="I171" s="7"/>
    </row>
    <row r="172" spans="1:9">
      <c r="A172" s="158" t="s">
        <v>10</v>
      </c>
      <c r="B172" s="360" t="s">
        <v>218</v>
      </c>
      <c r="C172" s="360"/>
      <c r="D172" s="360"/>
      <c r="E172" s="360"/>
      <c r="F172" s="360"/>
      <c r="G172" s="190">
        <f>G104</f>
        <v>2557.8799999999997</v>
      </c>
      <c r="H172" s="3"/>
      <c r="I172" s="7"/>
    </row>
    <row r="173" spans="1:9">
      <c r="A173" s="158" t="s">
        <v>12</v>
      </c>
      <c r="B173" s="360" t="s">
        <v>50</v>
      </c>
      <c r="C173" s="360"/>
      <c r="D173" s="360"/>
      <c r="E173" s="360"/>
      <c r="F173" s="360"/>
      <c r="G173" s="190">
        <f>G115</f>
        <v>180.82999999999998</v>
      </c>
      <c r="H173" s="3"/>
      <c r="I173" s="7"/>
    </row>
    <row r="174" spans="1:9">
      <c r="A174" s="158" t="s">
        <v>13</v>
      </c>
      <c r="B174" s="360" t="s">
        <v>51</v>
      </c>
      <c r="C174" s="360"/>
      <c r="D174" s="360"/>
      <c r="E174" s="360"/>
      <c r="F174" s="360"/>
      <c r="G174" s="190">
        <f>G140</f>
        <v>563.52</v>
      </c>
      <c r="H174" s="27"/>
      <c r="I174" s="26"/>
    </row>
    <row r="175" spans="1:9">
      <c r="A175" s="169" t="s">
        <v>22</v>
      </c>
      <c r="B175" s="360" t="s">
        <v>52</v>
      </c>
      <c r="C175" s="360"/>
      <c r="D175" s="360"/>
      <c r="E175" s="360"/>
      <c r="F175" s="360"/>
      <c r="G175" s="190">
        <f>G148</f>
        <v>130.107</v>
      </c>
      <c r="H175" s="27"/>
      <c r="I175" s="26"/>
    </row>
    <row r="176" spans="1:9">
      <c r="A176" s="359" t="s">
        <v>49</v>
      </c>
      <c r="B176" s="359"/>
      <c r="C176" s="359"/>
      <c r="D176" s="359"/>
      <c r="E176" s="359"/>
      <c r="F176" s="359"/>
      <c r="G176" s="285">
        <f>SUM(G171:G175)</f>
        <v>6677.4470000000001</v>
      </c>
      <c r="H176" s="27"/>
      <c r="I176" s="26"/>
    </row>
    <row r="177" spans="1:9">
      <c r="A177" s="169" t="s">
        <v>23</v>
      </c>
      <c r="B177" s="360" t="s">
        <v>55</v>
      </c>
      <c r="C177" s="360"/>
      <c r="D177" s="360"/>
      <c r="E177" s="360"/>
      <c r="F177" s="360"/>
      <c r="G177" s="190">
        <f>G162</f>
        <v>3217.79</v>
      </c>
      <c r="H177" s="27"/>
      <c r="I177" s="26"/>
    </row>
    <row r="178" spans="1:9" ht="15.75">
      <c r="A178" s="361" t="s">
        <v>219</v>
      </c>
      <c r="B178" s="361"/>
      <c r="C178" s="361"/>
      <c r="D178" s="361"/>
      <c r="E178" s="361"/>
      <c r="F178" s="361"/>
      <c r="G178" s="198">
        <f>SUM(G176:G177)</f>
        <v>9895.237000000001</v>
      </c>
      <c r="H178" s="3"/>
      <c r="I178" s="7"/>
    </row>
  </sheetData>
  <mergeCells count="198">
    <mergeCell ref="A1:G1"/>
    <mergeCell ref="A2:G2"/>
    <mergeCell ref="B3:D3"/>
    <mergeCell ref="F3:G3"/>
    <mergeCell ref="B4:G4"/>
    <mergeCell ref="A5:G5"/>
    <mergeCell ref="A9:G9"/>
    <mergeCell ref="B10:D10"/>
    <mergeCell ref="E10:G10"/>
    <mergeCell ref="B11:D11"/>
    <mergeCell ref="E11:G11"/>
    <mergeCell ref="B12:E12"/>
    <mergeCell ref="F12:G12"/>
    <mergeCell ref="A6:B6"/>
    <mergeCell ref="C6:G6"/>
    <mergeCell ref="A7:B7"/>
    <mergeCell ref="C7:G7"/>
    <mergeCell ref="A8:C8"/>
    <mergeCell ref="E8:F8"/>
    <mergeCell ref="A18:G18"/>
    <mergeCell ref="A19:G19"/>
    <mergeCell ref="A20:G20"/>
    <mergeCell ref="A21:G21"/>
    <mergeCell ref="B22:F22"/>
    <mergeCell ref="B23:F23"/>
    <mergeCell ref="B13:F13"/>
    <mergeCell ref="A14:G14"/>
    <mergeCell ref="A15:C15"/>
    <mergeCell ref="D15:E15"/>
    <mergeCell ref="F15:G15"/>
    <mergeCell ref="A16:C17"/>
    <mergeCell ref="D16:E17"/>
    <mergeCell ref="F16:G17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43:F43"/>
    <mergeCell ref="B44:F44"/>
    <mergeCell ref="B45:F45"/>
    <mergeCell ref="B46:D46"/>
    <mergeCell ref="E46:F46"/>
    <mergeCell ref="B47:F47"/>
    <mergeCell ref="B36:F36"/>
    <mergeCell ref="B37:G37"/>
    <mergeCell ref="B38:G38"/>
    <mergeCell ref="A41:G41"/>
    <mergeCell ref="B42:D42"/>
    <mergeCell ref="E42:F42"/>
    <mergeCell ref="A57:G57"/>
    <mergeCell ref="B58:F58"/>
    <mergeCell ref="B59:F59"/>
    <mergeCell ref="B60:F60"/>
    <mergeCell ref="A61:F61"/>
    <mergeCell ref="B62:G62"/>
    <mergeCell ref="A48:F48"/>
    <mergeCell ref="B49:F49"/>
    <mergeCell ref="A50:F50"/>
    <mergeCell ref="A52:F52"/>
    <mergeCell ref="B53:G53"/>
    <mergeCell ref="B54:G54"/>
    <mergeCell ref="B69:D69"/>
    <mergeCell ref="E69:F69"/>
    <mergeCell ref="B70:D70"/>
    <mergeCell ref="E70:F70"/>
    <mergeCell ref="B71:D71"/>
    <mergeCell ref="E71:F71"/>
    <mergeCell ref="B63:G63"/>
    <mergeCell ref="B66:G66"/>
    <mergeCell ref="B67:D67"/>
    <mergeCell ref="E67:F67"/>
    <mergeCell ref="B68:D68"/>
    <mergeCell ref="E68:F68"/>
    <mergeCell ref="B75:D75"/>
    <mergeCell ref="E75:F75"/>
    <mergeCell ref="A76:D76"/>
    <mergeCell ref="E76:F76"/>
    <mergeCell ref="B77:G77"/>
    <mergeCell ref="B78:G78"/>
    <mergeCell ref="B72:D72"/>
    <mergeCell ref="E72:F72"/>
    <mergeCell ref="B73:D73"/>
    <mergeCell ref="E73:F73"/>
    <mergeCell ref="B74:D74"/>
    <mergeCell ref="E74:F74"/>
    <mergeCell ref="B81:G81"/>
    <mergeCell ref="B82:F82"/>
    <mergeCell ref="A83:A86"/>
    <mergeCell ref="B83:B86"/>
    <mergeCell ref="C83:D83"/>
    <mergeCell ref="E83:F83"/>
    <mergeCell ref="G83:G86"/>
    <mergeCell ref="C84:D84"/>
    <mergeCell ref="E84:F84"/>
    <mergeCell ref="C85:D85"/>
    <mergeCell ref="B90:F90"/>
    <mergeCell ref="E85:F85"/>
    <mergeCell ref="C86:D86"/>
    <mergeCell ref="E86:F86"/>
    <mergeCell ref="A99:G99"/>
    <mergeCell ref="B100:F100"/>
    <mergeCell ref="B101:F101"/>
    <mergeCell ref="B102:F102"/>
    <mergeCell ref="B103:F103"/>
    <mergeCell ref="A87:A89"/>
    <mergeCell ref="B87:B89"/>
    <mergeCell ref="C87:D87"/>
    <mergeCell ref="E87:F87"/>
    <mergeCell ref="G87:G89"/>
    <mergeCell ref="C88:D88"/>
    <mergeCell ref="E88:F88"/>
    <mergeCell ref="C89:D89"/>
    <mergeCell ref="E89:F89"/>
    <mergeCell ref="A104:F104"/>
    <mergeCell ref="B91:F91"/>
    <mergeCell ref="B92:F92"/>
    <mergeCell ref="B93:F93"/>
    <mergeCell ref="A94:F94"/>
    <mergeCell ref="B95:G95"/>
    <mergeCell ref="B96:G96"/>
    <mergeCell ref="B113:F113"/>
    <mergeCell ref="B114:F114"/>
    <mergeCell ref="A115:F115"/>
    <mergeCell ref="A118:G118"/>
    <mergeCell ref="A119:G119"/>
    <mergeCell ref="A121:D121"/>
    <mergeCell ref="E121:F121"/>
    <mergeCell ref="A107:G107"/>
    <mergeCell ref="B108:F108"/>
    <mergeCell ref="B109:F109"/>
    <mergeCell ref="B110:F110"/>
    <mergeCell ref="B111:F111"/>
    <mergeCell ref="B112:F112"/>
    <mergeCell ref="B129:F129"/>
    <mergeCell ref="A130:F130"/>
    <mergeCell ref="B132:F132"/>
    <mergeCell ref="B133:F133"/>
    <mergeCell ref="A134:F134"/>
    <mergeCell ref="A136:G136"/>
    <mergeCell ref="B123:F123"/>
    <mergeCell ref="B124:F124"/>
    <mergeCell ref="B125:F125"/>
    <mergeCell ref="B126:F126"/>
    <mergeCell ref="B127:F127"/>
    <mergeCell ref="B128:F128"/>
    <mergeCell ref="B144:F144"/>
    <mergeCell ref="B145:F145"/>
    <mergeCell ref="B146:F146"/>
    <mergeCell ref="B147:F147"/>
    <mergeCell ref="A148:F148"/>
    <mergeCell ref="A150:G150"/>
    <mergeCell ref="B137:F137"/>
    <mergeCell ref="B138:F138"/>
    <mergeCell ref="B139:F139"/>
    <mergeCell ref="A140:F140"/>
    <mergeCell ref="B141:G141"/>
    <mergeCell ref="A143:G143"/>
    <mergeCell ref="B157:E157"/>
    <mergeCell ref="H157:I157"/>
    <mergeCell ref="A158:A159"/>
    <mergeCell ref="B158:C159"/>
    <mergeCell ref="D158:E158"/>
    <mergeCell ref="D159:E159"/>
    <mergeCell ref="B151:E151"/>
    <mergeCell ref="A152:F152"/>
    <mergeCell ref="B153:E153"/>
    <mergeCell ref="A154:F154"/>
    <mergeCell ref="B155:E155"/>
    <mergeCell ref="A156:F156"/>
    <mergeCell ref="A164:A166"/>
    <mergeCell ref="B164:B166"/>
    <mergeCell ref="C164:D164"/>
    <mergeCell ref="C165:D165"/>
    <mergeCell ref="C166:D166"/>
    <mergeCell ref="A169:G169"/>
    <mergeCell ref="B160:C160"/>
    <mergeCell ref="D160:E160"/>
    <mergeCell ref="B161:C161"/>
    <mergeCell ref="D161:E161"/>
    <mergeCell ref="A162:F162"/>
    <mergeCell ref="B163:G163"/>
    <mergeCell ref="A176:F176"/>
    <mergeCell ref="B177:F177"/>
    <mergeCell ref="A178:F178"/>
    <mergeCell ref="A170:F170"/>
    <mergeCell ref="B171:F171"/>
    <mergeCell ref="B172:F172"/>
    <mergeCell ref="B173:F173"/>
    <mergeCell ref="B174:F174"/>
    <mergeCell ref="B175:F175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headerFooter>
    <oddFooter>&amp;C&amp;A&amp;R&amp;P de &amp;N</oddFooter>
  </headerFooter>
  <rowBreaks count="2" manualBreakCount="2">
    <brk id="78" max="6" man="1"/>
    <brk id="149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>
      <selection activeCell="A8" sqref="A8:C8"/>
    </sheetView>
  </sheetViews>
  <sheetFormatPr defaultRowHeight="15"/>
  <cols>
    <col min="1" max="1" width="17.5703125" customWidth="1"/>
    <col min="2" max="2" width="16.85546875" customWidth="1"/>
    <col min="3" max="3" width="21.85546875" customWidth="1"/>
    <col min="4" max="4" width="20.5703125" customWidth="1"/>
    <col min="5" max="5" width="12.5703125" customWidth="1"/>
    <col min="6" max="6" width="24.85546875" customWidth="1"/>
    <col min="7" max="7" width="27.28515625" customWidth="1"/>
    <col min="8" max="8" width="13" customWidth="1"/>
    <col min="9" max="9" width="12.7109375" customWidth="1"/>
  </cols>
  <sheetData>
    <row r="1" spans="1:10">
      <c r="A1" s="557" t="s">
        <v>36</v>
      </c>
      <c r="B1" s="557"/>
      <c r="C1" s="557"/>
      <c r="D1" s="557"/>
      <c r="E1" s="557"/>
      <c r="F1" s="557"/>
      <c r="G1" s="557"/>
      <c r="H1" s="3"/>
      <c r="I1" s="3"/>
    </row>
    <row r="2" spans="1:10">
      <c r="A2" s="548" t="s">
        <v>0</v>
      </c>
      <c r="B2" s="548"/>
      <c r="C2" s="548"/>
      <c r="D2" s="548"/>
      <c r="E2" s="548"/>
      <c r="F2" s="548"/>
      <c r="G2" s="548"/>
      <c r="H2" s="3"/>
      <c r="I2" s="28"/>
    </row>
    <row r="3" spans="1:10">
      <c r="A3" s="286" t="s">
        <v>1</v>
      </c>
      <c r="B3" s="464" t="str">
        <f>'SA. DIURNO DESARMADO 12X36'!B3:D3</f>
        <v>23242.002232/2020-15</v>
      </c>
      <c r="C3" s="464"/>
      <c r="D3" s="464"/>
      <c r="E3" s="287" t="s">
        <v>2</v>
      </c>
      <c r="F3" s="555" t="str">
        <f>'SA. DIURNO DESARMADO 12X36'!F3:G3</f>
        <v>02/2021</v>
      </c>
      <c r="G3" s="556"/>
      <c r="H3" s="3"/>
      <c r="I3" s="3"/>
    </row>
    <row r="4" spans="1:10">
      <c r="A4" s="286" t="s">
        <v>3</v>
      </c>
      <c r="B4" s="466">
        <f ca="1">NOW()</f>
        <v>44335.715486921297</v>
      </c>
      <c r="C4" s="466"/>
      <c r="D4" s="466"/>
      <c r="E4" s="466"/>
      <c r="F4" s="466"/>
      <c r="G4" s="466"/>
      <c r="H4" s="3"/>
      <c r="I4" s="3"/>
    </row>
    <row r="5" spans="1:10">
      <c r="A5" s="558" t="s">
        <v>4</v>
      </c>
      <c r="B5" s="558"/>
      <c r="C5" s="558"/>
      <c r="D5" s="558"/>
      <c r="E5" s="558"/>
      <c r="F5" s="558"/>
      <c r="G5" s="558"/>
      <c r="H5" s="4"/>
      <c r="I5" s="3"/>
    </row>
    <row r="6" spans="1:10">
      <c r="A6" s="559" t="s">
        <v>5</v>
      </c>
      <c r="B6" s="559"/>
      <c r="C6" s="461" t="s">
        <v>340</v>
      </c>
      <c r="D6" s="461"/>
      <c r="E6" s="461"/>
      <c r="F6" s="461"/>
      <c r="G6" s="461"/>
      <c r="H6" s="5"/>
      <c r="I6" s="3"/>
    </row>
    <row r="7" spans="1:10">
      <c r="A7" s="559" t="s">
        <v>6</v>
      </c>
      <c r="B7" s="559"/>
      <c r="C7" s="461" t="str">
        <f>'SA. DIURNO DESARMADO 12X36'!C7:G7</f>
        <v>10.662.072/0005-81</v>
      </c>
      <c r="D7" s="461"/>
      <c r="E7" s="461"/>
      <c r="F7" s="461"/>
      <c r="G7" s="461"/>
      <c r="H7" s="6"/>
      <c r="I7" s="3"/>
    </row>
    <row r="8" spans="1:10">
      <c r="A8" s="559" t="s">
        <v>268</v>
      </c>
      <c r="B8" s="559"/>
      <c r="C8" s="559"/>
      <c r="D8" s="288"/>
      <c r="E8" s="462">
        <v>1</v>
      </c>
      <c r="F8" s="462"/>
      <c r="G8" s="289" t="str">
        <f>IF(E8=1,"Lucro Real",IF(E8=2,"Lucro Presumido",IF(E8=3,"SIMPLES-Anexo III",IF(E8=4,"SIMPLES-Anexo IV","RT Inválido"))))</f>
        <v>Lucro Real</v>
      </c>
      <c r="H8" s="6"/>
      <c r="I8" s="3"/>
    </row>
    <row r="9" spans="1:10">
      <c r="A9" s="558" t="s">
        <v>7</v>
      </c>
      <c r="B9" s="558"/>
      <c r="C9" s="558"/>
      <c r="D9" s="558"/>
      <c r="E9" s="558"/>
      <c r="F9" s="558"/>
      <c r="G9" s="558"/>
      <c r="H9" s="6"/>
      <c r="I9" s="3"/>
    </row>
    <row r="10" spans="1:10">
      <c r="A10" s="290" t="s">
        <v>8</v>
      </c>
      <c r="B10" s="568" t="s">
        <v>9</v>
      </c>
      <c r="C10" s="568"/>
      <c r="D10" s="568"/>
      <c r="E10" s="545">
        <f ca="1">NOW()</f>
        <v>44335.715486921297</v>
      </c>
      <c r="F10" s="546"/>
      <c r="G10" s="546"/>
      <c r="H10" s="6"/>
      <c r="I10" s="3"/>
    </row>
    <row r="11" spans="1:10">
      <c r="A11" s="290" t="s">
        <v>10</v>
      </c>
      <c r="B11" s="561" t="s">
        <v>11</v>
      </c>
      <c r="C11" s="561"/>
      <c r="D11" s="561"/>
      <c r="E11" s="455" t="s">
        <v>341</v>
      </c>
      <c r="F11" s="455"/>
      <c r="G11" s="455"/>
      <c r="H11" s="3"/>
      <c r="I11" s="3"/>
    </row>
    <row r="12" spans="1:10">
      <c r="A12" s="291" t="s">
        <v>12</v>
      </c>
      <c r="B12" s="562" t="s">
        <v>269</v>
      </c>
      <c r="C12" s="563"/>
      <c r="D12" s="563"/>
      <c r="E12" s="563"/>
      <c r="F12" s="564" t="s">
        <v>263</v>
      </c>
      <c r="G12" s="565"/>
      <c r="H12" s="3"/>
      <c r="I12" s="3"/>
    </row>
    <row r="13" spans="1:10">
      <c r="A13" s="290" t="s">
        <v>13</v>
      </c>
      <c r="B13" s="566" t="s">
        <v>14</v>
      </c>
      <c r="C13" s="566"/>
      <c r="D13" s="566"/>
      <c r="E13" s="566"/>
      <c r="F13" s="447"/>
      <c r="G13" s="225">
        <v>30</v>
      </c>
      <c r="H13" s="28"/>
      <c r="I13" s="28"/>
      <c r="J13" s="143"/>
    </row>
    <row r="14" spans="1:10">
      <c r="A14" s="551" t="s">
        <v>289</v>
      </c>
      <c r="B14" s="551"/>
      <c r="C14" s="551"/>
      <c r="D14" s="551"/>
      <c r="E14" s="551"/>
      <c r="F14" s="551"/>
      <c r="G14" s="551"/>
      <c r="H14" s="28"/>
      <c r="I14" s="28"/>
      <c r="J14" s="143"/>
    </row>
    <row r="15" spans="1:10">
      <c r="A15" s="552" t="s">
        <v>290</v>
      </c>
      <c r="B15" s="552"/>
      <c r="C15" s="552"/>
      <c r="D15" s="553" t="s">
        <v>291</v>
      </c>
      <c r="E15" s="553"/>
      <c r="F15" s="553" t="s">
        <v>292</v>
      </c>
      <c r="G15" s="553"/>
      <c r="H15" s="28"/>
      <c r="I15" s="28"/>
      <c r="J15" s="143"/>
    </row>
    <row r="16" spans="1:10">
      <c r="A16" s="508" t="s">
        <v>352</v>
      </c>
      <c r="B16" s="508"/>
      <c r="C16" s="508"/>
      <c r="D16" s="554" t="s">
        <v>293</v>
      </c>
      <c r="E16" s="554"/>
      <c r="F16" s="453">
        <v>1</v>
      </c>
      <c r="G16" s="453"/>
      <c r="H16" s="28"/>
      <c r="I16" s="28"/>
      <c r="J16" s="143"/>
    </row>
    <row r="17" spans="1:9">
      <c r="A17" s="508"/>
      <c r="B17" s="508"/>
      <c r="C17" s="508"/>
      <c r="D17" s="554"/>
      <c r="E17" s="554"/>
      <c r="F17" s="453"/>
      <c r="G17" s="453"/>
      <c r="H17" s="3"/>
      <c r="I17" s="3"/>
    </row>
    <row r="18" spans="1:9">
      <c r="A18" s="567"/>
      <c r="B18" s="567"/>
      <c r="C18" s="567"/>
      <c r="D18" s="567"/>
      <c r="E18" s="567"/>
      <c r="F18" s="567"/>
      <c r="G18" s="567"/>
      <c r="H18" s="3"/>
      <c r="I18" s="7"/>
    </row>
    <row r="19" spans="1:9" ht="15.75">
      <c r="A19" s="531" t="s">
        <v>304</v>
      </c>
      <c r="B19" s="531"/>
      <c r="C19" s="531"/>
      <c r="D19" s="531"/>
      <c r="E19" s="531"/>
      <c r="F19" s="531"/>
      <c r="G19" s="531"/>
      <c r="H19" s="3"/>
      <c r="I19" s="7"/>
    </row>
    <row r="20" spans="1:9">
      <c r="A20" s="548" t="s">
        <v>303</v>
      </c>
      <c r="B20" s="548"/>
      <c r="C20" s="548"/>
      <c r="D20" s="548"/>
      <c r="E20" s="548"/>
      <c r="F20" s="548"/>
      <c r="G20" s="548"/>
      <c r="H20" s="3"/>
      <c r="I20" s="7"/>
    </row>
    <row r="21" spans="1:9">
      <c r="A21" s="549" t="s">
        <v>305</v>
      </c>
      <c r="B21" s="549"/>
      <c r="C21" s="549"/>
      <c r="D21" s="549"/>
      <c r="E21" s="549"/>
      <c r="F21" s="549"/>
      <c r="G21" s="549"/>
      <c r="H21" s="3"/>
      <c r="I21" s="7"/>
    </row>
    <row r="22" spans="1:9" ht="38.25">
      <c r="A22" s="43">
        <v>1</v>
      </c>
      <c r="B22" s="503" t="s">
        <v>270</v>
      </c>
      <c r="C22" s="503"/>
      <c r="D22" s="503"/>
      <c r="E22" s="503"/>
      <c r="F22" s="550"/>
      <c r="G22" s="292" t="s">
        <v>354</v>
      </c>
      <c r="H22" s="3"/>
      <c r="I22" s="7"/>
    </row>
    <row r="23" spans="1:9">
      <c r="A23" s="43">
        <v>2</v>
      </c>
      <c r="B23" s="503" t="s">
        <v>54</v>
      </c>
      <c r="C23" s="503"/>
      <c r="D23" s="503"/>
      <c r="E23" s="503"/>
      <c r="F23" s="550"/>
      <c r="G23" s="293" t="s">
        <v>68</v>
      </c>
      <c r="H23" s="3"/>
      <c r="I23" s="7"/>
    </row>
    <row r="24" spans="1:9">
      <c r="A24" s="43">
        <v>3</v>
      </c>
      <c r="B24" s="503" t="s">
        <v>59</v>
      </c>
      <c r="C24" s="503"/>
      <c r="D24" s="503"/>
      <c r="E24" s="503"/>
      <c r="F24" s="503"/>
      <c r="G24" s="294">
        <v>1500.4</v>
      </c>
      <c r="H24" s="3"/>
      <c r="I24" s="8"/>
    </row>
    <row r="25" spans="1:9">
      <c r="A25" s="43">
        <v>4</v>
      </c>
      <c r="B25" s="503" t="s">
        <v>15</v>
      </c>
      <c r="C25" s="503"/>
      <c r="D25" s="503"/>
      <c r="E25" s="503"/>
      <c r="F25" s="442"/>
      <c r="G25" s="119" t="s">
        <v>72</v>
      </c>
      <c r="H25" s="3"/>
      <c r="I25" s="7"/>
    </row>
    <row r="26" spans="1:9">
      <c r="A26" s="43">
        <v>5</v>
      </c>
      <c r="B26" s="503" t="s">
        <v>16</v>
      </c>
      <c r="C26" s="503"/>
      <c r="D26" s="503"/>
      <c r="E26" s="503"/>
      <c r="F26" s="442"/>
      <c r="G26" s="295" t="s">
        <v>73</v>
      </c>
      <c r="H26" s="3"/>
      <c r="I26" s="7"/>
    </row>
    <row r="27" spans="1:9">
      <c r="A27" s="111">
        <v>6</v>
      </c>
      <c r="B27" s="547" t="s">
        <v>77</v>
      </c>
      <c r="C27" s="547"/>
      <c r="D27" s="547"/>
      <c r="E27" s="547"/>
      <c r="F27" s="547"/>
      <c r="G27" s="120">
        <f>G24/220</f>
        <v>6.82</v>
      </c>
      <c r="H27" s="3"/>
      <c r="I27" s="7"/>
    </row>
    <row r="28" spans="1:9">
      <c r="A28" s="111">
        <v>7</v>
      </c>
      <c r="B28" s="547" t="s">
        <v>138</v>
      </c>
      <c r="C28" s="547"/>
      <c r="D28" s="547"/>
      <c r="E28" s="547"/>
      <c r="F28" s="547"/>
      <c r="G28" s="120">
        <f>SUM(G27+G29)</f>
        <v>8.870000000000001</v>
      </c>
      <c r="H28" s="3"/>
      <c r="I28" s="7"/>
    </row>
    <row r="29" spans="1:9">
      <c r="A29" s="111">
        <v>8</v>
      </c>
      <c r="B29" s="547" t="s">
        <v>139</v>
      </c>
      <c r="C29" s="547"/>
      <c r="D29" s="547"/>
      <c r="E29" s="547"/>
      <c r="F29" s="547"/>
      <c r="G29" s="120">
        <f>ROUND(G27*0.3,2)</f>
        <v>2.0499999999999998</v>
      </c>
      <c r="H29" s="3"/>
      <c r="I29" s="7"/>
    </row>
    <row r="30" spans="1:9">
      <c r="A30" s="111">
        <v>9</v>
      </c>
      <c r="B30" s="547" t="s">
        <v>142</v>
      </c>
      <c r="C30" s="547"/>
      <c r="D30" s="547"/>
      <c r="E30" s="547"/>
      <c r="F30" s="547"/>
      <c r="G30" s="120">
        <f>G24*0.3</f>
        <v>450.12</v>
      </c>
      <c r="H30" s="3"/>
      <c r="I30" s="7"/>
    </row>
    <row r="31" spans="1:9">
      <c r="A31" s="34">
        <v>10</v>
      </c>
      <c r="B31" s="542" t="s">
        <v>70</v>
      </c>
      <c r="C31" s="542"/>
      <c r="D31" s="542"/>
      <c r="E31" s="542"/>
      <c r="F31" s="542"/>
      <c r="G31" s="120">
        <f>ROUND(G27*1.5,2)</f>
        <v>10.23</v>
      </c>
      <c r="H31" s="3"/>
      <c r="I31" s="7"/>
    </row>
    <row r="32" spans="1:9">
      <c r="A32" s="34">
        <v>11</v>
      </c>
      <c r="B32" s="542" t="s">
        <v>140</v>
      </c>
      <c r="C32" s="542"/>
      <c r="D32" s="542"/>
      <c r="E32" s="542"/>
      <c r="F32" s="542"/>
      <c r="G32" s="120">
        <f>ROUND(1.3*G27*1.5,2)</f>
        <v>13.3</v>
      </c>
      <c r="H32" s="3"/>
      <c r="I32" s="7"/>
    </row>
    <row r="33" spans="1:9" ht="15" customHeight="1">
      <c r="A33" s="34">
        <v>12</v>
      </c>
      <c r="B33" s="542" t="s">
        <v>246</v>
      </c>
      <c r="C33" s="542"/>
      <c r="D33" s="542"/>
      <c r="E33" s="542"/>
      <c r="F33" s="542"/>
      <c r="G33" s="120">
        <f>ROUND(G27*0.2,2)</f>
        <v>1.36</v>
      </c>
      <c r="H33" s="3"/>
      <c r="I33" s="7"/>
    </row>
    <row r="34" spans="1:9">
      <c r="A34" s="34">
        <v>13</v>
      </c>
      <c r="B34" s="542" t="s">
        <v>141</v>
      </c>
      <c r="C34" s="542"/>
      <c r="D34" s="542"/>
      <c r="E34" s="542"/>
      <c r="F34" s="542"/>
      <c r="G34" s="120">
        <f>ROUND(1.3*G27*0.2,2)</f>
        <v>1.77</v>
      </c>
      <c r="H34" s="3"/>
      <c r="I34" s="7"/>
    </row>
    <row r="35" spans="1:9">
      <c r="A35" s="34">
        <v>14</v>
      </c>
      <c r="B35" s="542" t="s">
        <v>143</v>
      </c>
      <c r="C35" s="542"/>
      <c r="D35" s="542"/>
      <c r="E35" s="542"/>
      <c r="F35" s="542"/>
      <c r="G35" s="120">
        <f>ROUND(G27/6,2)</f>
        <v>1.1399999999999999</v>
      </c>
      <c r="H35" s="3"/>
      <c r="I35" s="7"/>
    </row>
    <row r="36" spans="1:9">
      <c r="A36" s="34">
        <v>15</v>
      </c>
      <c r="B36" s="542" t="s">
        <v>71</v>
      </c>
      <c r="C36" s="542"/>
      <c r="D36" s="542"/>
      <c r="E36" s="542"/>
      <c r="F36" s="542"/>
      <c r="G36" s="127">
        <v>2</v>
      </c>
      <c r="H36" s="3"/>
      <c r="I36" s="7"/>
    </row>
    <row r="37" spans="1:9">
      <c r="A37" s="122" t="s">
        <v>74</v>
      </c>
      <c r="B37" s="539" t="s">
        <v>306</v>
      </c>
      <c r="C37" s="539"/>
      <c r="D37" s="539"/>
      <c r="E37" s="539"/>
      <c r="F37" s="539"/>
      <c r="G37" s="539"/>
      <c r="H37" s="3"/>
      <c r="I37" s="7"/>
    </row>
    <row r="38" spans="1:9">
      <c r="A38" s="122" t="s">
        <v>75</v>
      </c>
      <c r="B38" s="539" t="s">
        <v>307</v>
      </c>
      <c r="C38" s="539"/>
      <c r="D38" s="539"/>
      <c r="E38" s="539"/>
      <c r="F38" s="539"/>
      <c r="G38" s="539"/>
      <c r="H38" s="3"/>
      <c r="I38" s="7"/>
    </row>
    <row r="39" spans="1:9" ht="15" customHeight="1">
      <c r="A39" s="296"/>
      <c r="B39" s="297"/>
      <c r="C39" s="297"/>
      <c r="D39" s="297"/>
      <c r="E39" s="297"/>
      <c r="F39" s="297"/>
      <c r="G39" s="297"/>
      <c r="H39" s="3"/>
      <c r="I39" s="7"/>
    </row>
    <row r="40" spans="1:9">
      <c r="A40" s="291"/>
      <c r="B40" s="298"/>
      <c r="C40" s="298"/>
      <c r="D40" s="298"/>
      <c r="E40" s="298"/>
      <c r="F40" s="298"/>
      <c r="G40" s="298"/>
      <c r="H40" s="3"/>
      <c r="I40" s="7"/>
    </row>
    <row r="41" spans="1:9" ht="15.75">
      <c r="A41" s="540" t="s">
        <v>76</v>
      </c>
      <c r="B41" s="540"/>
      <c r="C41" s="540"/>
      <c r="D41" s="540"/>
      <c r="E41" s="540"/>
      <c r="F41" s="540"/>
      <c r="G41" s="540"/>
      <c r="H41" s="3"/>
      <c r="I41" s="7"/>
    </row>
    <row r="42" spans="1:9">
      <c r="A42" s="216">
        <v>1</v>
      </c>
      <c r="B42" s="485" t="s">
        <v>17</v>
      </c>
      <c r="C42" s="485"/>
      <c r="D42" s="485"/>
      <c r="E42" s="485" t="s">
        <v>20</v>
      </c>
      <c r="F42" s="485"/>
      <c r="G42" s="299" t="s">
        <v>18</v>
      </c>
      <c r="H42" s="3"/>
      <c r="I42" s="7"/>
    </row>
    <row r="43" spans="1:9" ht="31.5" customHeight="1">
      <c r="A43" s="58" t="s">
        <v>8</v>
      </c>
      <c r="B43" s="431" t="s">
        <v>343</v>
      </c>
      <c r="C43" s="431"/>
      <c r="D43" s="431"/>
      <c r="E43" s="431"/>
      <c r="F43" s="431"/>
      <c r="G43" s="300">
        <f>ROUND((G24/220)*180,2)*G36</f>
        <v>2455.1999999999998</v>
      </c>
      <c r="H43" s="117"/>
      <c r="I43" s="12"/>
    </row>
    <row r="44" spans="1:9" ht="27.75" customHeight="1">
      <c r="A44" s="301" t="s">
        <v>10</v>
      </c>
      <c r="B44" s="560" t="s">
        <v>247</v>
      </c>
      <c r="C44" s="560"/>
      <c r="D44" s="560"/>
      <c r="E44" s="560"/>
      <c r="F44" s="560"/>
      <c r="G44" s="300">
        <f>ROUND(G33*8*15*G36,2)</f>
        <v>326.39999999999998</v>
      </c>
      <c r="H44" s="11"/>
      <c r="I44" s="12"/>
    </row>
    <row r="45" spans="1:9" ht="41.25" customHeight="1">
      <c r="A45" s="301" t="s">
        <v>12</v>
      </c>
      <c r="B45" s="543" t="s">
        <v>249</v>
      </c>
      <c r="C45" s="544"/>
      <c r="D45" s="544"/>
      <c r="E45" s="544"/>
      <c r="F45" s="544"/>
      <c r="G45" s="300">
        <f>ROUND(G31*4.33*G36,2)</f>
        <v>88.59</v>
      </c>
      <c r="H45" s="11"/>
      <c r="I45" s="12"/>
    </row>
    <row r="46" spans="1:9" ht="27" customHeight="1">
      <c r="A46" s="301" t="s">
        <v>13</v>
      </c>
      <c r="B46" s="541" t="s">
        <v>78</v>
      </c>
      <c r="C46" s="533"/>
      <c r="D46" s="533"/>
      <c r="E46" s="533"/>
      <c r="F46" s="533"/>
      <c r="G46" s="300">
        <f>ROUND($G$35*G36*15,2)</f>
        <v>34.200000000000003</v>
      </c>
      <c r="H46" s="10"/>
      <c r="I46" s="9"/>
    </row>
    <row r="47" spans="1:9" ht="30" customHeight="1">
      <c r="A47" s="301" t="s">
        <v>22</v>
      </c>
      <c r="B47" s="533" t="s">
        <v>278</v>
      </c>
      <c r="C47" s="533"/>
      <c r="D47" s="533"/>
      <c r="E47" s="533"/>
      <c r="F47" s="533"/>
      <c r="G47" s="300">
        <f>ROUND(SUM(G44:G46)*0.2,2)</f>
        <v>89.84</v>
      </c>
      <c r="H47" s="10"/>
      <c r="I47" s="9"/>
    </row>
    <row r="48" spans="1:9" ht="30" customHeight="1">
      <c r="A48" s="301" t="s">
        <v>23</v>
      </c>
      <c r="B48" s="533" t="s">
        <v>251</v>
      </c>
      <c r="C48" s="533"/>
      <c r="D48" s="533"/>
      <c r="E48" s="534">
        <v>0.3</v>
      </c>
      <c r="F48" s="535"/>
      <c r="G48" s="105">
        <f>ROUND(E48*SUM(G43:G47),2)</f>
        <v>898.27</v>
      </c>
      <c r="H48" s="10"/>
      <c r="I48" s="9"/>
    </row>
    <row r="49" spans="1:9">
      <c r="A49" s="58" t="s">
        <v>24</v>
      </c>
      <c r="B49" s="536" t="s">
        <v>79</v>
      </c>
      <c r="C49" s="536"/>
      <c r="D49" s="536"/>
      <c r="E49" s="536"/>
      <c r="F49" s="536"/>
      <c r="G49" s="105">
        <v>0</v>
      </c>
      <c r="H49" s="118"/>
      <c r="I49" s="9"/>
    </row>
    <row r="50" spans="1:9">
      <c r="A50" s="537" t="s">
        <v>255</v>
      </c>
      <c r="B50" s="537"/>
      <c r="C50" s="537"/>
      <c r="D50" s="537"/>
      <c r="E50" s="537"/>
      <c r="F50" s="537"/>
      <c r="G50" s="35">
        <f>SUM(G43:G49)</f>
        <v>3892.5</v>
      </c>
      <c r="H50" s="14"/>
      <c r="I50" s="13"/>
    </row>
    <row r="51" spans="1:9">
      <c r="A51" s="92" t="s">
        <v>25</v>
      </c>
      <c r="B51" s="481" t="s">
        <v>326</v>
      </c>
      <c r="C51" s="481"/>
      <c r="D51" s="481"/>
      <c r="E51" s="481"/>
      <c r="F51" s="481"/>
      <c r="G51" s="113">
        <f>ROUND(G31*15*G36*0.5,2)</f>
        <v>153.44999999999999</v>
      </c>
      <c r="H51" s="14"/>
      <c r="I51" s="13"/>
    </row>
    <row r="52" spans="1:9">
      <c r="A52" s="501" t="s">
        <v>256</v>
      </c>
      <c r="B52" s="501"/>
      <c r="C52" s="501"/>
      <c r="D52" s="501"/>
      <c r="E52" s="501"/>
      <c r="F52" s="501"/>
      <c r="G52" s="112">
        <f>G51</f>
        <v>153.44999999999999</v>
      </c>
      <c r="H52" s="14"/>
      <c r="I52" s="13"/>
    </row>
    <row r="53" spans="1:9">
      <c r="A53" s="302"/>
      <c r="B53" s="302"/>
      <c r="C53" s="302"/>
      <c r="D53" s="302"/>
      <c r="E53" s="302"/>
      <c r="F53" s="302"/>
      <c r="G53" s="303"/>
      <c r="H53" s="14"/>
      <c r="I53" s="13"/>
    </row>
    <row r="54" spans="1:9">
      <c r="A54" s="501" t="s">
        <v>250</v>
      </c>
      <c r="B54" s="501"/>
      <c r="C54" s="501"/>
      <c r="D54" s="501"/>
      <c r="E54" s="501"/>
      <c r="F54" s="501"/>
      <c r="G54" s="112">
        <f>G50+G52</f>
        <v>4045.95</v>
      </c>
      <c r="H54" s="14"/>
      <c r="I54" s="13"/>
    </row>
    <row r="55" spans="1:9">
      <c r="A55" s="122" t="s">
        <v>80</v>
      </c>
      <c r="B55" s="538" t="s">
        <v>317</v>
      </c>
      <c r="C55" s="538"/>
      <c r="D55" s="538"/>
      <c r="E55" s="538"/>
      <c r="F55" s="538"/>
      <c r="G55" s="538"/>
      <c r="H55" s="14"/>
      <c r="I55" s="13"/>
    </row>
    <row r="56" spans="1:9">
      <c r="A56" s="122" t="s">
        <v>84</v>
      </c>
      <c r="B56" s="538" t="s">
        <v>316</v>
      </c>
      <c r="C56" s="538"/>
      <c r="D56" s="538"/>
      <c r="E56" s="538"/>
      <c r="F56" s="538"/>
      <c r="G56" s="538"/>
      <c r="H56" s="14"/>
      <c r="I56" s="13"/>
    </row>
    <row r="57" spans="1:9">
      <c r="A57" s="304"/>
      <c r="B57" s="305"/>
      <c r="C57" s="305"/>
      <c r="D57" s="305"/>
      <c r="E57" s="305"/>
      <c r="F57" s="305"/>
      <c r="G57" s="305"/>
      <c r="H57" s="14"/>
      <c r="I57" s="13"/>
    </row>
    <row r="58" spans="1:9">
      <c r="A58" s="306"/>
      <c r="B58" s="306"/>
      <c r="C58" s="306"/>
      <c r="D58" s="307"/>
      <c r="E58" s="307"/>
      <c r="F58" s="307"/>
      <c r="G58" s="308"/>
      <c r="H58" s="14"/>
      <c r="I58" s="13"/>
    </row>
    <row r="59" spans="1:9" ht="15.75">
      <c r="A59" s="531" t="s">
        <v>81</v>
      </c>
      <c r="B59" s="531"/>
      <c r="C59" s="531"/>
      <c r="D59" s="531"/>
      <c r="E59" s="531"/>
      <c r="F59" s="531"/>
      <c r="G59" s="531"/>
      <c r="H59" s="3"/>
      <c r="I59" s="7"/>
    </row>
    <row r="60" spans="1:9">
      <c r="A60" s="37" t="s">
        <v>37</v>
      </c>
      <c r="B60" s="532" t="s">
        <v>252</v>
      </c>
      <c r="C60" s="532"/>
      <c r="D60" s="532"/>
      <c r="E60" s="532"/>
      <c r="F60" s="532"/>
      <c r="G60" s="213" t="s">
        <v>18</v>
      </c>
      <c r="H60" s="3"/>
      <c r="I60" s="7"/>
    </row>
    <row r="61" spans="1:9">
      <c r="A61" s="217" t="s">
        <v>8</v>
      </c>
      <c r="B61" s="412" t="s">
        <v>309</v>
      </c>
      <c r="C61" s="412"/>
      <c r="D61" s="412"/>
      <c r="E61" s="412"/>
      <c r="F61" s="412"/>
      <c r="G61" s="309">
        <f>ROUND(G50/12,2)</f>
        <v>324.38</v>
      </c>
      <c r="H61" s="18"/>
      <c r="I61" s="17"/>
    </row>
    <row r="62" spans="1:9">
      <c r="A62" s="217" t="s">
        <v>10</v>
      </c>
      <c r="B62" s="412" t="s">
        <v>82</v>
      </c>
      <c r="C62" s="412"/>
      <c r="D62" s="412"/>
      <c r="E62" s="412"/>
      <c r="F62" s="412"/>
      <c r="G62" s="309">
        <f>ROUND((G50+G50/3)/12,2)</f>
        <v>432.5</v>
      </c>
      <c r="H62" s="18"/>
      <c r="I62" s="17"/>
    </row>
    <row r="63" spans="1:9">
      <c r="A63" s="518" t="s">
        <v>83</v>
      </c>
      <c r="B63" s="518"/>
      <c r="C63" s="518"/>
      <c r="D63" s="518"/>
      <c r="E63" s="518"/>
      <c r="F63" s="518"/>
      <c r="G63" s="241">
        <f>SUM(G61:G62)</f>
        <v>756.88</v>
      </c>
      <c r="H63" s="18"/>
      <c r="I63" s="17"/>
    </row>
    <row r="64" spans="1:9" ht="25.5" customHeight="1">
      <c r="A64" s="123" t="s">
        <v>86</v>
      </c>
      <c r="B64" s="524" t="s">
        <v>85</v>
      </c>
      <c r="C64" s="524"/>
      <c r="D64" s="524"/>
      <c r="E64" s="524"/>
      <c r="F64" s="524"/>
      <c r="G64" s="524"/>
      <c r="H64" s="18"/>
      <c r="I64" s="17"/>
    </row>
    <row r="65" spans="1:9" ht="37.5" customHeight="1">
      <c r="A65" s="123" t="s">
        <v>87</v>
      </c>
      <c r="B65" s="524" t="s">
        <v>88</v>
      </c>
      <c r="C65" s="524"/>
      <c r="D65" s="524"/>
      <c r="E65" s="524"/>
      <c r="F65" s="524"/>
      <c r="G65" s="524"/>
      <c r="H65" s="18"/>
      <c r="I65" s="17"/>
    </row>
    <row r="66" spans="1:9">
      <c r="A66" s="310"/>
      <c r="B66" s="311"/>
      <c r="C66" s="311"/>
      <c r="D66" s="311"/>
      <c r="E66" s="311"/>
      <c r="F66" s="311"/>
      <c r="G66" s="311"/>
      <c r="H66" s="18"/>
      <c r="I66" s="17"/>
    </row>
    <row r="67" spans="1:9">
      <c r="A67" s="307"/>
      <c r="B67" s="307"/>
      <c r="C67" s="307"/>
      <c r="D67" s="312"/>
      <c r="E67" s="313"/>
      <c r="F67" s="313"/>
      <c r="G67" s="313"/>
      <c r="H67" s="3"/>
      <c r="I67" s="7"/>
    </row>
    <row r="68" spans="1:9" ht="34.5" customHeight="1">
      <c r="A68" s="38" t="s">
        <v>38</v>
      </c>
      <c r="B68" s="528" t="s">
        <v>254</v>
      </c>
      <c r="C68" s="528"/>
      <c r="D68" s="528"/>
      <c r="E68" s="528"/>
      <c r="F68" s="528"/>
      <c r="G68" s="528"/>
      <c r="H68" s="3"/>
      <c r="I68" s="7"/>
    </row>
    <row r="69" spans="1:9">
      <c r="A69" s="314"/>
      <c r="B69" s="529" t="s">
        <v>89</v>
      </c>
      <c r="C69" s="529"/>
      <c r="D69" s="529"/>
      <c r="E69" s="424" t="s">
        <v>20</v>
      </c>
      <c r="F69" s="530"/>
      <c r="G69" s="247" t="s">
        <v>18</v>
      </c>
      <c r="H69" s="3"/>
      <c r="I69" s="7"/>
    </row>
    <row r="70" spans="1:9">
      <c r="A70" s="217" t="s">
        <v>8</v>
      </c>
      <c r="B70" s="412" t="s">
        <v>28</v>
      </c>
      <c r="C70" s="412"/>
      <c r="D70" s="412"/>
      <c r="E70" s="526">
        <v>0.2</v>
      </c>
      <c r="F70" s="527"/>
      <c r="G70" s="315">
        <f>ROUND((G50+G63)*E70,2)</f>
        <v>929.88</v>
      </c>
      <c r="H70" s="16"/>
      <c r="I70" s="15"/>
    </row>
    <row r="71" spans="1:9">
      <c r="A71" s="217" t="s">
        <v>10</v>
      </c>
      <c r="B71" s="412" t="s">
        <v>39</v>
      </c>
      <c r="C71" s="412"/>
      <c r="D71" s="412"/>
      <c r="E71" s="413">
        <v>2.5000000000000001E-2</v>
      </c>
      <c r="F71" s="414"/>
      <c r="G71" s="315">
        <f>ROUND((G50+G63)*E71,2)</f>
        <v>116.23</v>
      </c>
      <c r="H71" s="16"/>
      <c r="I71" s="15"/>
    </row>
    <row r="72" spans="1:9">
      <c r="A72" s="217" t="s">
        <v>12</v>
      </c>
      <c r="B72" s="412" t="s">
        <v>96</v>
      </c>
      <c r="C72" s="412"/>
      <c r="D72" s="412"/>
      <c r="E72" s="526">
        <f>ROUND((H73*I73),6)</f>
        <v>0.03</v>
      </c>
      <c r="F72" s="527"/>
      <c r="G72" s="315">
        <f>ROUND((G50+G63)*E72,2)</f>
        <v>139.47999999999999</v>
      </c>
      <c r="H72" s="219" t="s">
        <v>90</v>
      </c>
      <c r="I72" s="39" t="s">
        <v>91</v>
      </c>
    </row>
    <row r="73" spans="1:9">
      <c r="A73" s="217" t="s">
        <v>13</v>
      </c>
      <c r="B73" s="412" t="s">
        <v>40</v>
      </c>
      <c r="C73" s="412"/>
      <c r="D73" s="412"/>
      <c r="E73" s="413">
        <v>1.4999999999999999E-2</v>
      </c>
      <c r="F73" s="414"/>
      <c r="G73" s="315">
        <f>ROUND((G50+G63)*E73,2)</f>
        <v>69.739999999999995</v>
      </c>
      <c r="H73" s="220">
        <v>0.03</v>
      </c>
      <c r="I73" s="41">
        <v>1</v>
      </c>
    </row>
    <row r="74" spans="1:9">
      <c r="A74" s="217" t="s">
        <v>22</v>
      </c>
      <c r="B74" s="412" t="s">
        <v>41</v>
      </c>
      <c r="C74" s="412"/>
      <c r="D74" s="412"/>
      <c r="E74" s="413">
        <v>0.01</v>
      </c>
      <c r="F74" s="414"/>
      <c r="G74" s="315">
        <f>ROUND((G50+G63)*E74,2)</f>
        <v>46.49</v>
      </c>
      <c r="H74" s="16"/>
      <c r="I74" s="15"/>
    </row>
    <row r="75" spans="1:9">
      <c r="A75" s="217" t="s">
        <v>23</v>
      </c>
      <c r="B75" s="412" t="s">
        <v>29</v>
      </c>
      <c r="C75" s="412"/>
      <c r="D75" s="412"/>
      <c r="E75" s="413">
        <v>6.0000000000000001E-3</v>
      </c>
      <c r="F75" s="414"/>
      <c r="G75" s="315">
        <f>ROUND((G50+G63)*E75,2)</f>
        <v>27.9</v>
      </c>
      <c r="H75" s="16"/>
      <c r="I75" s="15"/>
    </row>
    <row r="76" spans="1:9">
      <c r="A76" s="217" t="s">
        <v>24</v>
      </c>
      <c r="B76" s="412" t="s">
        <v>42</v>
      </c>
      <c r="C76" s="412"/>
      <c r="D76" s="412"/>
      <c r="E76" s="413">
        <v>2E-3</v>
      </c>
      <c r="F76" s="414"/>
      <c r="G76" s="315">
        <f>ROUND((G50+G63)*E76,2)</f>
        <v>9.3000000000000007</v>
      </c>
      <c r="H76" s="16"/>
      <c r="I76" s="15"/>
    </row>
    <row r="77" spans="1:9">
      <c r="A77" s="217" t="s">
        <v>25</v>
      </c>
      <c r="B77" s="412" t="s">
        <v>43</v>
      </c>
      <c r="C77" s="412"/>
      <c r="D77" s="412"/>
      <c r="E77" s="413">
        <v>0.08</v>
      </c>
      <c r="F77" s="414"/>
      <c r="G77" s="315">
        <f>ROUND((G50+G63)*E77,2)</f>
        <v>371.95</v>
      </c>
      <c r="H77" s="16"/>
      <c r="I77" s="15"/>
    </row>
    <row r="78" spans="1:9">
      <c r="A78" s="517" t="s">
        <v>92</v>
      </c>
      <c r="B78" s="518"/>
      <c r="C78" s="518"/>
      <c r="D78" s="518"/>
      <c r="E78" s="519">
        <f>SUM(E70:F77)</f>
        <v>0.36800000000000005</v>
      </c>
      <c r="F78" s="418"/>
      <c r="G78" s="316">
        <f>SUM(G70:G77)</f>
        <v>1710.97</v>
      </c>
      <c r="H78" s="14"/>
      <c r="I78" s="40"/>
    </row>
    <row r="79" spans="1:9">
      <c r="A79" s="125" t="s">
        <v>93</v>
      </c>
      <c r="B79" s="524" t="s">
        <v>94</v>
      </c>
      <c r="C79" s="524"/>
      <c r="D79" s="524"/>
      <c r="E79" s="524"/>
      <c r="F79" s="524"/>
      <c r="G79" s="524"/>
      <c r="H79" s="14"/>
      <c r="I79" s="40"/>
    </row>
    <row r="80" spans="1:9">
      <c r="A80" s="125" t="s">
        <v>95</v>
      </c>
      <c r="B80" s="524" t="s">
        <v>97</v>
      </c>
      <c r="C80" s="524"/>
      <c r="D80" s="524"/>
      <c r="E80" s="524"/>
      <c r="F80" s="524"/>
      <c r="G80" s="524"/>
      <c r="H80" s="14"/>
      <c r="I80" s="40"/>
    </row>
    <row r="81" spans="1:9">
      <c r="A81" s="317"/>
      <c r="B81" s="318"/>
      <c r="C81" s="318"/>
      <c r="D81" s="318"/>
      <c r="E81" s="318"/>
      <c r="F81" s="318"/>
      <c r="G81" s="318"/>
      <c r="H81" s="14"/>
      <c r="I81" s="40"/>
    </row>
    <row r="82" spans="1:9">
      <c r="A82" s="317"/>
      <c r="B82" s="318"/>
      <c r="C82" s="318"/>
      <c r="D82" s="318"/>
      <c r="E82" s="318"/>
      <c r="F82" s="318"/>
      <c r="G82" s="318"/>
      <c r="H82" s="14"/>
      <c r="I82" s="40"/>
    </row>
    <row r="83" spans="1:9">
      <c r="A83" s="42" t="s">
        <v>44</v>
      </c>
      <c r="B83" s="408" t="s">
        <v>99</v>
      </c>
      <c r="C83" s="408"/>
      <c r="D83" s="408"/>
      <c r="E83" s="408"/>
      <c r="F83" s="408"/>
      <c r="G83" s="408"/>
      <c r="H83" s="3"/>
      <c r="I83" s="7"/>
    </row>
    <row r="84" spans="1:9">
      <c r="A84" s="36"/>
      <c r="B84" s="525" t="s">
        <v>99</v>
      </c>
      <c r="C84" s="525"/>
      <c r="D84" s="525"/>
      <c r="E84" s="525"/>
      <c r="F84" s="525"/>
      <c r="G84" s="319" t="s">
        <v>18</v>
      </c>
      <c r="H84" s="3"/>
      <c r="I84" s="7"/>
    </row>
    <row r="85" spans="1:9" ht="43.5" customHeight="1">
      <c r="A85" s="507" t="s">
        <v>8</v>
      </c>
      <c r="B85" s="508" t="s">
        <v>100</v>
      </c>
      <c r="C85" s="481" t="s">
        <v>101</v>
      </c>
      <c r="D85" s="481"/>
      <c r="E85" s="515">
        <v>0</v>
      </c>
      <c r="F85" s="516"/>
      <c r="G85" s="511">
        <f>IF(ROUND((E85*E87*E86)-(G43*E88),2)&lt;0,0,ROUND((E85*E87*E86)-(G43*E88),2))</f>
        <v>0</v>
      </c>
      <c r="H85" s="22"/>
      <c r="I85" s="21"/>
    </row>
    <row r="86" spans="1:9" ht="33.75" customHeight="1">
      <c r="A86" s="507"/>
      <c r="B86" s="508"/>
      <c r="C86" s="481" t="s">
        <v>102</v>
      </c>
      <c r="D86" s="481"/>
      <c r="E86" s="520">
        <v>2</v>
      </c>
      <c r="F86" s="521"/>
      <c r="G86" s="511"/>
      <c r="H86" s="22"/>
      <c r="I86" s="21"/>
    </row>
    <row r="87" spans="1:9" ht="31.5" customHeight="1">
      <c r="A87" s="507"/>
      <c r="B87" s="508"/>
      <c r="C87" s="481" t="s">
        <v>103</v>
      </c>
      <c r="D87" s="481"/>
      <c r="E87" s="512">
        <v>30</v>
      </c>
      <c r="F87" s="513"/>
      <c r="G87" s="511"/>
      <c r="H87" s="23"/>
      <c r="I87" s="24"/>
    </row>
    <row r="88" spans="1:9" ht="39" customHeight="1">
      <c r="A88" s="507"/>
      <c r="B88" s="508"/>
      <c r="C88" s="481" t="s">
        <v>105</v>
      </c>
      <c r="D88" s="481"/>
      <c r="E88" s="522">
        <v>0.06</v>
      </c>
      <c r="F88" s="523"/>
      <c r="G88" s="511"/>
      <c r="H88" s="22"/>
      <c r="I88" s="24"/>
    </row>
    <row r="89" spans="1:9" ht="33.75" customHeight="1">
      <c r="A89" s="507" t="s">
        <v>10</v>
      </c>
      <c r="B89" s="508" t="s">
        <v>327</v>
      </c>
      <c r="C89" s="481" t="s">
        <v>104</v>
      </c>
      <c r="D89" s="481"/>
      <c r="E89" s="509">
        <v>20</v>
      </c>
      <c r="F89" s="510"/>
      <c r="G89" s="511">
        <f>ROUND((E89*E90)-((E89*E90)*E91),2)</f>
        <v>480</v>
      </c>
      <c r="H89" s="22"/>
      <c r="I89" s="21"/>
    </row>
    <row r="90" spans="1:9" ht="32.25" customHeight="1">
      <c r="A90" s="507"/>
      <c r="B90" s="508"/>
      <c r="C90" s="481" t="s">
        <v>106</v>
      </c>
      <c r="D90" s="481"/>
      <c r="E90" s="512">
        <v>30</v>
      </c>
      <c r="F90" s="513"/>
      <c r="G90" s="511"/>
      <c r="H90" s="22"/>
      <c r="I90" s="21"/>
    </row>
    <row r="91" spans="1:9" ht="54" customHeight="1">
      <c r="A91" s="507"/>
      <c r="B91" s="508"/>
      <c r="C91" s="481" t="s">
        <v>107</v>
      </c>
      <c r="D91" s="481"/>
      <c r="E91" s="514">
        <v>0.2</v>
      </c>
      <c r="F91" s="514"/>
      <c r="G91" s="511"/>
      <c r="H91" s="22"/>
      <c r="I91" s="21"/>
    </row>
    <row r="92" spans="1:9">
      <c r="A92" s="43" t="s">
        <v>12</v>
      </c>
      <c r="B92" s="505" t="s">
        <v>26</v>
      </c>
      <c r="C92" s="505"/>
      <c r="D92" s="505"/>
      <c r="E92" s="505"/>
      <c r="F92" s="505"/>
      <c r="G92" s="320">
        <v>0</v>
      </c>
      <c r="H92" s="22"/>
      <c r="I92" s="21"/>
    </row>
    <row r="93" spans="1:9">
      <c r="A93" s="43" t="s">
        <v>13</v>
      </c>
      <c r="B93" s="493" t="s">
        <v>108</v>
      </c>
      <c r="C93" s="493"/>
      <c r="D93" s="493"/>
      <c r="E93" s="493"/>
      <c r="F93" s="493"/>
      <c r="G93" s="320">
        <f>ROUND((G50)*26*0.00023,2)</f>
        <v>23.28</v>
      </c>
      <c r="H93" s="22"/>
      <c r="I93" s="21"/>
    </row>
    <row r="94" spans="1:9">
      <c r="A94" s="43" t="s">
        <v>22</v>
      </c>
      <c r="B94" s="493" t="s">
        <v>109</v>
      </c>
      <c r="C94" s="493"/>
      <c r="D94" s="493"/>
      <c r="E94" s="493"/>
      <c r="F94" s="493"/>
      <c r="G94" s="114">
        <f>ROUND(((($G$43))*0.0052066)/12,2)</f>
        <v>1.07</v>
      </c>
      <c r="H94" s="22"/>
      <c r="I94" s="21"/>
    </row>
    <row r="95" spans="1:9">
      <c r="A95" s="43" t="s">
        <v>23</v>
      </c>
      <c r="B95" s="493" t="s">
        <v>110</v>
      </c>
      <c r="C95" s="493"/>
      <c r="D95" s="493"/>
      <c r="E95" s="493"/>
      <c r="F95" s="493"/>
      <c r="G95" s="44">
        <v>0</v>
      </c>
      <c r="H95" s="22"/>
      <c r="I95" s="21"/>
    </row>
    <row r="96" spans="1:9">
      <c r="A96" s="506" t="s">
        <v>111</v>
      </c>
      <c r="B96" s="506"/>
      <c r="C96" s="506"/>
      <c r="D96" s="506"/>
      <c r="E96" s="506"/>
      <c r="F96" s="506"/>
      <c r="G96" s="45">
        <f>SUM(G85:G95)</f>
        <v>504.34999999999997</v>
      </c>
      <c r="H96" s="3"/>
      <c r="I96" s="7"/>
    </row>
    <row r="97" spans="1:9">
      <c r="A97" s="126" t="s">
        <v>112</v>
      </c>
      <c r="B97" s="504" t="s">
        <v>58</v>
      </c>
      <c r="C97" s="504"/>
      <c r="D97" s="504"/>
      <c r="E97" s="504"/>
      <c r="F97" s="504"/>
      <c r="G97" s="504"/>
      <c r="H97" s="25"/>
      <c r="I97" s="7"/>
    </row>
    <row r="98" spans="1:9">
      <c r="A98" s="126" t="s">
        <v>113</v>
      </c>
      <c r="B98" s="504" t="s">
        <v>114</v>
      </c>
      <c r="C98" s="504"/>
      <c r="D98" s="504"/>
      <c r="E98" s="504"/>
      <c r="F98" s="504"/>
      <c r="G98" s="504"/>
      <c r="H98" s="25"/>
      <c r="I98" s="7"/>
    </row>
    <row r="99" spans="1:9">
      <c r="A99" s="321"/>
      <c r="B99" s="322"/>
      <c r="C99" s="322"/>
      <c r="D99" s="322"/>
      <c r="E99" s="322"/>
      <c r="F99" s="322"/>
      <c r="G99" s="322"/>
      <c r="H99" s="25"/>
      <c r="I99" s="7"/>
    </row>
    <row r="100" spans="1:9">
      <c r="A100" s="323"/>
      <c r="B100" s="324"/>
      <c r="C100" s="324"/>
      <c r="D100" s="325"/>
      <c r="E100" s="208"/>
      <c r="F100" s="208"/>
      <c r="G100" s="208"/>
      <c r="H100" s="3"/>
      <c r="I100" s="7"/>
    </row>
    <row r="101" spans="1:9">
      <c r="A101" s="476" t="s">
        <v>115</v>
      </c>
      <c r="B101" s="476"/>
      <c r="C101" s="476"/>
      <c r="D101" s="476"/>
      <c r="E101" s="476"/>
      <c r="F101" s="476"/>
      <c r="G101" s="476"/>
      <c r="H101" s="3"/>
      <c r="I101" s="7"/>
    </row>
    <row r="102" spans="1:9">
      <c r="A102" s="326" t="s">
        <v>116</v>
      </c>
      <c r="B102" s="402" t="s">
        <v>313</v>
      </c>
      <c r="C102" s="402"/>
      <c r="D102" s="402"/>
      <c r="E102" s="402"/>
      <c r="F102" s="402"/>
      <c r="G102" s="103" t="s">
        <v>18</v>
      </c>
      <c r="H102" s="22"/>
      <c r="I102" s="21"/>
    </row>
    <row r="103" spans="1:9">
      <c r="A103" s="43" t="s">
        <v>37</v>
      </c>
      <c r="B103" s="495" t="s">
        <v>335</v>
      </c>
      <c r="C103" s="495"/>
      <c r="D103" s="495"/>
      <c r="E103" s="495"/>
      <c r="F103" s="495"/>
      <c r="G103" s="109">
        <f>G63</f>
        <v>756.88</v>
      </c>
      <c r="H103" s="22"/>
      <c r="I103" s="21"/>
    </row>
    <row r="104" spans="1:9" ht="29.25" customHeight="1">
      <c r="A104" s="43" t="s">
        <v>38</v>
      </c>
      <c r="B104" s="495" t="s">
        <v>117</v>
      </c>
      <c r="C104" s="495"/>
      <c r="D104" s="495"/>
      <c r="E104" s="495"/>
      <c r="F104" s="495"/>
      <c r="G104" s="109">
        <f>G78</f>
        <v>1710.97</v>
      </c>
      <c r="H104" s="22"/>
      <c r="I104" s="21"/>
    </row>
    <row r="105" spans="1:9">
      <c r="A105" s="43" t="s">
        <v>44</v>
      </c>
      <c r="B105" s="493" t="s">
        <v>118</v>
      </c>
      <c r="C105" s="493"/>
      <c r="D105" s="493"/>
      <c r="E105" s="493"/>
      <c r="F105" s="493"/>
      <c r="G105" s="93">
        <f>G96</f>
        <v>504.34999999999997</v>
      </c>
      <c r="H105" s="27"/>
      <c r="I105" s="26"/>
    </row>
    <row r="106" spans="1:9">
      <c r="A106" s="501" t="s">
        <v>120</v>
      </c>
      <c r="B106" s="501"/>
      <c r="C106" s="501"/>
      <c r="D106" s="501"/>
      <c r="E106" s="501"/>
      <c r="F106" s="501"/>
      <c r="G106" s="46">
        <f>SUM(G103:G105)</f>
        <v>2972.2</v>
      </c>
      <c r="H106" s="20"/>
      <c r="I106" s="19"/>
    </row>
    <row r="107" spans="1:9">
      <c r="A107" s="302"/>
      <c r="B107" s="302"/>
      <c r="C107" s="302"/>
      <c r="D107" s="302"/>
      <c r="E107" s="302"/>
      <c r="F107" s="302"/>
      <c r="G107" s="327"/>
      <c r="H107" s="20"/>
      <c r="I107" s="19"/>
    </row>
    <row r="108" spans="1:9">
      <c r="A108" s="328"/>
      <c r="B108" s="329"/>
      <c r="C108" s="329"/>
      <c r="D108" s="330"/>
      <c r="E108" s="330"/>
      <c r="F108" s="330"/>
      <c r="G108" s="330"/>
      <c r="H108" s="20"/>
      <c r="I108" s="19"/>
    </row>
    <row r="109" spans="1:9" ht="15.75">
      <c r="A109" s="475" t="s">
        <v>121</v>
      </c>
      <c r="B109" s="475"/>
      <c r="C109" s="475"/>
      <c r="D109" s="475"/>
      <c r="E109" s="475"/>
      <c r="F109" s="475"/>
      <c r="G109" s="475"/>
      <c r="H109" s="28"/>
      <c r="I109" s="7"/>
    </row>
    <row r="110" spans="1:9">
      <c r="A110" s="331"/>
      <c r="B110" s="393" t="s">
        <v>122</v>
      </c>
      <c r="C110" s="393"/>
      <c r="D110" s="393"/>
      <c r="E110" s="393"/>
      <c r="F110" s="393"/>
      <c r="G110" s="332" t="s">
        <v>18</v>
      </c>
      <c r="H110" s="28"/>
      <c r="I110" s="7"/>
    </row>
    <row r="111" spans="1:9" ht="30.75" customHeight="1">
      <c r="A111" s="291" t="s">
        <v>8</v>
      </c>
      <c r="B111" s="495" t="s">
        <v>338</v>
      </c>
      <c r="C111" s="496"/>
      <c r="D111" s="496"/>
      <c r="E111" s="496"/>
      <c r="F111" s="496"/>
      <c r="G111" s="333">
        <f>ROUND(((G50/12)+($G$61/12)+($G$62/12))*(33/30)*0.05,2)</f>
        <v>21.31</v>
      </c>
      <c r="H111" s="28"/>
      <c r="I111" s="7"/>
    </row>
    <row r="112" spans="1:9">
      <c r="A112" s="291" t="s">
        <v>10</v>
      </c>
      <c r="B112" s="494" t="s">
        <v>32</v>
      </c>
      <c r="C112" s="494"/>
      <c r="D112" s="494"/>
      <c r="E112" s="494"/>
      <c r="F112" s="494"/>
      <c r="G112" s="333">
        <f>ROUND($E$77*G111,2)</f>
        <v>1.7</v>
      </c>
      <c r="H112" s="28"/>
      <c r="I112" s="7"/>
    </row>
    <row r="113" spans="1:9" ht="28.5" customHeight="1">
      <c r="A113" s="291" t="s">
        <v>12</v>
      </c>
      <c r="B113" s="495" t="s">
        <v>257</v>
      </c>
      <c r="C113" s="496"/>
      <c r="D113" s="496"/>
      <c r="E113" s="496"/>
      <c r="F113" s="496"/>
      <c r="G113" s="333">
        <f>ROUND((0.08*0.4*SUM(G50+$G$61+$G$62)*0.05),2)</f>
        <v>7.44</v>
      </c>
      <c r="H113" s="29"/>
      <c r="I113" s="7"/>
    </row>
    <row r="114" spans="1:9">
      <c r="A114" s="291" t="s">
        <v>13</v>
      </c>
      <c r="B114" s="493" t="s">
        <v>339</v>
      </c>
      <c r="C114" s="494"/>
      <c r="D114" s="494"/>
      <c r="E114" s="494"/>
      <c r="F114" s="494"/>
      <c r="G114" s="334">
        <f>ROUND(((7/33)/$G$13)*G50*1,2)</f>
        <v>27.52</v>
      </c>
      <c r="H114" s="28"/>
      <c r="I114" s="7"/>
    </row>
    <row r="115" spans="1:9">
      <c r="A115" s="291" t="s">
        <v>22</v>
      </c>
      <c r="B115" s="494" t="s">
        <v>125</v>
      </c>
      <c r="C115" s="494"/>
      <c r="D115" s="494"/>
      <c r="E115" s="494"/>
      <c r="F115" s="494"/>
      <c r="G115" s="333">
        <f>ROUND($E$78*G114,2)</f>
        <v>10.130000000000001</v>
      </c>
      <c r="H115" s="28"/>
      <c r="I115" s="7"/>
    </row>
    <row r="116" spans="1:9" ht="30" customHeight="1">
      <c r="A116" s="291" t="s">
        <v>23</v>
      </c>
      <c r="B116" s="495" t="s">
        <v>258</v>
      </c>
      <c r="C116" s="496"/>
      <c r="D116" s="496"/>
      <c r="E116" s="496"/>
      <c r="F116" s="496"/>
      <c r="G116" s="335">
        <f>ROUND((0.08*0.4*SUM(G50+$G$61+$G$62)*1),2)</f>
        <v>148.78</v>
      </c>
      <c r="H116" s="20"/>
      <c r="I116" s="19"/>
    </row>
    <row r="117" spans="1:9">
      <c r="A117" s="477" t="s">
        <v>318</v>
      </c>
      <c r="B117" s="477"/>
      <c r="C117" s="477"/>
      <c r="D117" s="477"/>
      <c r="E117" s="477"/>
      <c r="F117" s="477"/>
      <c r="G117" s="47">
        <f>SUM(G111:G116)</f>
        <v>216.88</v>
      </c>
      <c r="H117" s="28"/>
      <c r="I117" s="30"/>
    </row>
    <row r="118" spans="1:9">
      <c r="A118" s="302"/>
      <c r="B118" s="302"/>
      <c r="C118" s="302"/>
      <c r="D118" s="302"/>
      <c r="E118" s="302"/>
      <c r="F118" s="302"/>
      <c r="G118" s="327"/>
      <c r="H118" s="28"/>
      <c r="I118" s="30"/>
    </row>
    <row r="119" spans="1:9">
      <c r="A119" s="336"/>
      <c r="B119" s="336"/>
      <c r="C119" s="336"/>
      <c r="D119" s="330"/>
      <c r="E119" s="330"/>
      <c r="F119" s="330"/>
      <c r="G119" s="330"/>
      <c r="H119" s="28"/>
      <c r="I119" s="30"/>
    </row>
    <row r="120" spans="1:9" ht="15.75">
      <c r="A120" s="475" t="s">
        <v>314</v>
      </c>
      <c r="B120" s="475"/>
      <c r="C120" s="475"/>
      <c r="D120" s="475"/>
      <c r="E120" s="475"/>
      <c r="F120" s="475"/>
      <c r="G120" s="475"/>
      <c r="H120" s="33"/>
      <c r="I120" s="13"/>
    </row>
    <row r="121" spans="1:9" ht="33.75" customHeight="1">
      <c r="A121" s="482" t="s">
        <v>260</v>
      </c>
      <c r="B121" s="482"/>
      <c r="C121" s="482"/>
      <c r="D121" s="482"/>
      <c r="E121" s="482"/>
      <c r="F121" s="482"/>
      <c r="G121" s="482"/>
      <c r="H121" s="33"/>
      <c r="I121" s="13"/>
    </row>
    <row r="122" spans="1:9" ht="31.5">
      <c r="A122" s="218" t="s">
        <v>261</v>
      </c>
      <c r="B122" s="48">
        <f>G50</f>
        <v>3892.5</v>
      </c>
      <c r="C122" s="218" t="s">
        <v>319</v>
      </c>
      <c r="D122" s="49">
        <f>G106-G85-G89</f>
        <v>2492.1999999999998</v>
      </c>
      <c r="E122" s="59" t="s">
        <v>127</v>
      </c>
      <c r="F122" s="49">
        <f>G117</f>
        <v>216.88</v>
      </c>
      <c r="G122" s="50">
        <f>B122+D122+F122</f>
        <v>6601.58</v>
      </c>
      <c r="H122" s="33"/>
      <c r="I122" s="13"/>
    </row>
    <row r="123" spans="1:9" ht="15.75">
      <c r="A123" s="502" t="s">
        <v>129</v>
      </c>
      <c r="B123" s="502"/>
      <c r="C123" s="502"/>
      <c r="D123" s="502"/>
      <c r="E123" s="502" t="s">
        <v>130</v>
      </c>
      <c r="F123" s="502"/>
      <c r="G123" s="51">
        <f>ROUND(G122/30,2)</f>
        <v>220.05</v>
      </c>
      <c r="H123" s="33"/>
      <c r="I123" s="13"/>
    </row>
    <row r="124" spans="1:9" ht="15.75">
      <c r="A124" s="337"/>
      <c r="B124" s="337"/>
      <c r="C124" s="337"/>
      <c r="D124" s="337"/>
      <c r="E124" s="337"/>
      <c r="F124" s="337"/>
      <c r="G124" s="337"/>
      <c r="H124" s="33"/>
      <c r="I124" s="13"/>
    </row>
    <row r="125" spans="1:9">
      <c r="A125" s="52" t="s">
        <v>27</v>
      </c>
      <c r="B125" s="499" t="s">
        <v>147</v>
      </c>
      <c r="C125" s="499"/>
      <c r="D125" s="499"/>
      <c r="E125" s="499"/>
      <c r="F125" s="499"/>
      <c r="G125" s="55" t="s">
        <v>18</v>
      </c>
      <c r="H125" s="14"/>
      <c r="I125" s="13"/>
    </row>
    <row r="126" spans="1:9">
      <c r="A126" s="291" t="s">
        <v>8</v>
      </c>
      <c r="B126" s="493" t="s">
        <v>131</v>
      </c>
      <c r="C126" s="494"/>
      <c r="D126" s="494"/>
      <c r="E126" s="494"/>
      <c r="F126" s="494"/>
      <c r="G126" s="106">
        <f>ROUND($G$122/12,2)</f>
        <v>550.13</v>
      </c>
      <c r="H126" s="14"/>
      <c r="I126" s="13"/>
    </row>
    <row r="127" spans="1:9">
      <c r="A127" s="291" t="s">
        <v>10</v>
      </c>
      <c r="B127" s="473" t="s">
        <v>324</v>
      </c>
      <c r="C127" s="503"/>
      <c r="D127" s="503"/>
      <c r="E127" s="503"/>
      <c r="F127" s="503"/>
      <c r="G127" s="106">
        <f>ROUND((2.59/30)/12*($G$122),2)</f>
        <v>47.49</v>
      </c>
      <c r="H127" s="54"/>
      <c r="I127" s="13"/>
    </row>
    <row r="128" spans="1:9">
      <c r="A128" s="291" t="s">
        <v>12</v>
      </c>
      <c r="B128" s="493" t="s">
        <v>133</v>
      </c>
      <c r="C128" s="494"/>
      <c r="D128" s="494"/>
      <c r="E128" s="494"/>
      <c r="F128" s="494"/>
      <c r="G128" s="106">
        <f>ROUND((5/30)/12*0.015*($G$122),2)</f>
        <v>1.38</v>
      </c>
      <c r="H128" s="14"/>
      <c r="I128" s="13"/>
    </row>
    <row r="129" spans="1:9">
      <c r="A129" s="291" t="s">
        <v>13</v>
      </c>
      <c r="B129" s="493" t="s">
        <v>132</v>
      </c>
      <c r="C129" s="494"/>
      <c r="D129" s="494"/>
      <c r="E129" s="494"/>
      <c r="F129" s="494"/>
      <c r="G129" s="106">
        <f>ROUND(((15/30)/12)*0.0078*($G$122),2)</f>
        <v>2.15</v>
      </c>
      <c r="H129" s="54"/>
      <c r="I129" s="13"/>
    </row>
    <row r="130" spans="1:9" ht="32.25" customHeight="1">
      <c r="A130" s="291" t="s">
        <v>22</v>
      </c>
      <c r="B130" s="495" t="s">
        <v>134</v>
      </c>
      <c r="C130" s="496"/>
      <c r="D130" s="496"/>
      <c r="E130" s="496"/>
      <c r="F130" s="496"/>
      <c r="G130" s="107">
        <f>ROUND((((G50+G50/3)/12+(G78+G96+G117))*4/12)*0.02,2)</f>
        <v>19.100000000000001</v>
      </c>
      <c r="H130" s="32"/>
      <c r="I130" s="31"/>
    </row>
    <row r="131" spans="1:9">
      <c r="A131" s="338" t="s">
        <v>23</v>
      </c>
      <c r="B131" s="497" t="s">
        <v>135</v>
      </c>
      <c r="C131" s="497"/>
      <c r="D131" s="497"/>
      <c r="E131" s="497"/>
      <c r="F131" s="497"/>
      <c r="G131" s="107">
        <f>ROUND(((3/30)/12)*($G$122),2)</f>
        <v>55.01</v>
      </c>
      <c r="H131" s="32"/>
      <c r="I131" s="31"/>
    </row>
    <row r="132" spans="1:9">
      <c r="A132" s="498" t="s">
        <v>136</v>
      </c>
      <c r="B132" s="498"/>
      <c r="C132" s="498"/>
      <c r="D132" s="498"/>
      <c r="E132" s="498"/>
      <c r="F132" s="498"/>
      <c r="G132" s="53">
        <f>SUM(G126:G131)</f>
        <v>675.26</v>
      </c>
      <c r="H132" s="28"/>
      <c r="I132" s="30"/>
    </row>
    <row r="133" spans="1:9">
      <c r="A133" s="307"/>
      <c r="B133" s="307"/>
      <c r="C133" s="307"/>
      <c r="D133" s="312"/>
      <c r="E133" s="313"/>
      <c r="F133" s="313"/>
      <c r="G133" s="313"/>
      <c r="H133" s="33"/>
      <c r="I133" s="30"/>
    </row>
    <row r="134" spans="1:9">
      <c r="A134" s="52" t="s">
        <v>30</v>
      </c>
      <c r="B134" s="499" t="s">
        <v>137</v>
      </c>
      <c r="C134" s="499"/>
      <c r="D134" s="499"/>
      <c r="E134" s="499"/>
      <c r="F134" s="499"/>
      <c r="G134" s="55" t="s">
        <v>18</v>
      </c>
      <c r="H134" s="3"/>
      <c r="I134" s="7"/>
    </row>
    <row r="135" spans="1:9">
      <c r="A135" s="291" t="s">
        <v>8</v>
      </c>
      <c r="B135" s="500" t="s">
        <v>262</v>
      </c>
      <c r="C135" s="496"/>
      <c r="D135" s="496"/>
      <c r="E135" s="496"/>
      <c r="F135" s="496"/>
      <c r="G135" s="339">
        <v>0</v>
      </c>
      <c r="H135" s="3"/>
      <c r="I135" s="7"/>
    </row>
    <row r="136" spans="1:9">
      <c r="A136" s="491" t="s">
        <v>144</v>
      </c>
      <c r="B136" s="491"/>
      <c r="C136" s="491"/>
      <c r="D136" s="491"/>
      <c r="E136" s="491"/>
      <c r="F136" s="491"/>
      <c r="G136" s="56">
        <f>SUM(G135:G135)</f>
        <v>0</v>
      </c>
      <c r="H136" s="3"/>
      <c r="I136" s="7"/>
    </row>
    <row r="137" spans="1:9">
      <c r="A137" s="340"/>
      <c r="B137" s="341"/>
      <c r="C137" s="342"/>
      <c r="D137" s="325"/>
      <c r="E137" s="325"/>
      <c r="F137" s="325"/>
      <c r="G137" s="325"/>
      <c r="H137" s="3"/>
      <c r="I137" s="7"/>
    </row>
    <row r="138" spans="1:9">
      <c r="A138" s="492" t="s">
        <v>145</v>
      </c>
      <c r="B138" s="492"/>
      <c r="C138" s="492"/>
      <c r="D138" s="492"/>
      <c r="E138" s="492"/>
      <c r="F138" s="492"/>
      <c r="G138" s="492"/>
      <c r="H138" s="27"/>
      <c r="I138" s="26"/>
    </row>
    <row r="139" spans="1:9">
      <c r="A139" s="37" t="s">
        <v>146</v>
      </c>
      <c r="B139" s="476" t="s">
        <v>122</v>
      </c>
      <c r="C139" s="476"/>
      <c r="D139" s="476"/>
      <c r="E139" s="476"/>
      <c r="F139" s="476"/>
      <c r="G139" s="214" t="s">
        <v>18</v>
      </c>
      <c r="H139" s="27"/>
      <c r="I139" s="26"/>
    </row>
    <row r="140" spans="1:9">
      <c r="A140" s="340" t="s">
        <v>27</v>
      </c>
      <c r="B140" s="472" t="s">
        <v>147</v>
      </c>
      <c r="C140" s="472"/>
      <c r="D140" s="472"/>
      <c r="E140" s="472"/>
      <c r="F140" s="472"/>
      <c r="G140" s="343">
        <f>G132</f>
        <v>675.26</v>
      </c>
      <c r="H140" s="3"/>
      <c r="I140" s="7"/>
    </row>
    <row r="141" spans="1:9">
      <c r="A141" s="340" t="s">
        <v>30</v>
      </c>
      <c r="B141" s="472" t="s">
        <v>137</v>
      </c>
      <c r="C141" s="472"/>
      <c r="D141" s="472"/>
      <c r="E141" s="472"/>
      <c r="F141" s="472"/>
      <c r="G141" s="93">
        <f>G136</f>
        <v>0</v>
      </c>
      <c r="H141" s="20"/>
      <c r="I141" s="19"/>
    </row>
    <row r="142" spans="1:9">
      <c r="A142" s="477" t="s">
        <v>148</v>
      </c>
      <c r="B142" s="477"/>
      <c r="C142" s="477"/>
      <c r="D142" s="477"/>
      <c r="E142" s="477"/>
      <c r="F142" s="477"/>
      <c r="G142" s="57">
        <f>SUM(G140:G141)</f>
        <v>675.26</v>
      </c>
      <c r="H142" s="3"/>
      <c r="I142" s="7"/>
    </row>
    <row r="143" spans="1:9" ht="30" customHeight="1">
      <c r="A143" s="122" t="s">
        <v>208</v>
      </c>
      <c r="B143" s="478" t="s">
        <v>259</v>
      </c>
      <c r="C143" s="478"/>
      <c r="D143" s="478"/>
      <c r="E143" s="478"/>
      <c r="F143" s="478"/>
      <c r="G143" s="478"/>
      <c r="H143" s="3"/>
      <c r="I143" s="7"/>
    </row>
    <row r="144" spans="1:9">
      <c r="A144" s="323"/>
      <c r="B144" s="323"/>
      <c r="C144" s="323"/>
      <c r="D144" s="312"/>
      <c r="E144" s="313"/>
      <c r="F144" s="313"/>
      <c r="G144" s="313"/>
      <c r="H144" s="33"/>
      <c r="I144" s="30"/>
    </row>
    <row r="145" spans="1:9" ht="15.75">
      <c r="A145" s="475" t="s">
        <v>189</v>
      </c>
      <c r="B145" s="475"/>
      <c r="C145" s="475"/>
      <c r="D145" s="475"/>
      <c r="E145" s="475"/>
      <c r="F145" s="475"/>
      <c r="G145" s="475"/>
      <c r="H145" s="3"/>
      <c r="I145" s="7"/>
    </row>
    <row r="146" spans="1:9">
      <c r="A146" s="90"/>
      <c r="B146" s="378" t="s">
        <v>122</v>
      </c>
      <c r="C146" s="378"/>
      <c r="D146" s="378"/>
      <c r="E146" s="378"/>
      <c r="F146" s="378"/>
      <c r="G146" s="56" t="s">
        <v>18</v>
      </c>
      <c r="H146" s="3"/>
      <c r="I146" s="7"/>
    </row>
    <row r="147" spans="1:9">
      <c r="A147" s="91" t="s">
        <v>8</v>
      </c>
      <c r="B147" s="472" t="s">
        <v>190</v>
      </c>
      <c r="C147" s="472"/>
      <c r="D147" s="472"/>
      <c r="E147" s="472"/>
      <c r="F147" s="472"/>
      <c r="G147" s="108">
        <f>'SA. UNIFORMES E EQUIPAMENTOS'!H13</f>
        <v>124.00533333333334</v>
      </c>
      <c r="H147" s="3"/>
      <c r="I147" s="7"/>
    </row>
    <row r="148" spans="1:9">
      <c r="A148" s="91" t="s">
        <v>10</v>
      </c>
      <c r="B148" s="472" t="s">
        <v>191</v>
      </c>
      <c r="C148" s="472"/>
      <c r="D148" s="472"/>
      <c r="E148" s="472"/>
      <c r="F148" s="472"/>
      <c r="G148" s="109">
        <f>'SA. UNIFORMES E EQUIPAMENTOS'!H42</f>
        <v>257.2766666666667</v>
      </c>
      <c r="H148" s="3"/>
      <c r="I148" s="7"/>
    </row>
    <row r="149" spans="1:9">
      <c r="A149" s="92" t="s">
        <v>12</v>
      </c>
      <c r="B149" s="473" t="s">
        <v>192</v>
      </c>
      <c r="C149" s="473"/>
      <c r="D149" s="473"/>
      <c r="E149" s="473"/>
      <c r="F149" s="473"/>
      <c r="G149" s="93">
        <v>0</v>
      </c>
      <c r="H149" s="3"/>
      <c r="I149" s="7"/>
    </row>
    <row r="150" spans="1:9">
      <c r="A150" s="474" t="s">
        <v>193</v>
      </c>
      <c r="B150" s="474"/>
      <c r="C150" s="474"/>
      <c r="D150" s="474"/>
      <c r="E150" s="474"/>
      <c r="F150" s="474"/>
      <c r="G150" s="47">
        <f>SUM(G147:G149)</f>
        <v>381.28200000000004</v>
      </c>
      <c r="H150" s="25"/>
      <c r="I150" s="7"/>
    </row>
    <row r="151" spans="1:9">
      <c r="A151" s="330"/>
      <c r="B151" s="215"/>
      <c r="C151" s="215"/>
      <c r="D151" s="312"/>
      <c r="E151" s="313"/>
      <c r="F151" s="313"/>
      <c r="G151" s="313"/>
      <c r="H151" s="33"/>
      <c r="I151" s="30"/>
    </row>
    <row r="152" spans="1:9" ht="15.75">
      <c r="A152" s="475" t="s">
        <v>194</v>
      </c>
      <c r="B152" s="475"/>
      <c r="C152" s="475"/>
      <c r="D152" s="475"/>
      <c r="E152" s="475"/>
      <c r="F152" s="475"/>
      <c r="G152" s="475"/>
      <c r="H152" s="33"/>
      <c r="I152" s="19"/>
    </row>
    <row r="153" spans="1:9">
      <c r="A153" s="94"/>
      <c r="B153" s="376" t="s">
        <v>45</v>
      </c>
      <c r="C153" s="376"/>
      <c r="D153" s="376"/>
      <c r="E153" s="376"/>
      <c r="F153" s="95" t="s">
        <v>20</v>
      </c>
      <c r="G153" s="95" t="s">
        <v>18</v>
      </c>
      <c r="H153" s="33"/>
      <c r="I153" s="7"/>
    </row>
    <row r="154" spans="1:9" ht="47.25" customHeight="1">
      <c r="A154" s="481" t="s">
        <v>195</v>
      </c>
      <c r="B154" s="481"/>
      <c r="C154" s="481"/>
      <c r="D154" s="481"/>
      <c r="E154" s="481"/>
      <c r="F154" s="481"/>
      <c r="G154" s="98">
        <f>SUM(G50+G106+G117+G142+G150)</f>
        <v>8138.1220000000003</v>
      </c>
      <c r="H154" s="33"/>
      <c r="I154" s="7"/>
    </row>
    <row r="155" spans="1:9">
      <c r="A155" s="96" t="s">
        <v>8</v>
      </c>
      <c r="B155" s="372" t="s">
        <v>46</v>
      </c>
      <c r="C155" s="372"/>
      <c r="D155" s="372"/>
      <c r="E155" s="372"/>
      <c r="F155" s="203">
        <v>0.1467</v>
      </c>
      <c r="G155" s="101">
        <f>ROUND(F155*G154,2)</f>
        <v>1193.8599999999999</v>
      </c>
      <c r="H155" s="33"/>
      <c r="I155" s="7"/>
    </row>
    <row r="156" spans="1:9" ht="44.25" customHeight="1">
      <c r="A156" s="481" t="s">
        <v>196</v>
      </c>
      <c r="B156" s="481"/>
      <c r="C156" s="481"/>
      <c r="D156" s="481"/>
      <c r="E156" s="481"/>
      <c r="F156" s="481"/>
      <c r="G156" s="110">
        <f>SUM(G50+G106+G117+G142+G150+G155)</f>
        <v>9331.982</v>
      </c>
      <c r="H156" s="33"/>
      <c r="I156" s="19"/>
    </row>
    <row r="157" spans="1:9">
      <c r="A157" s="96" t="s">
        <v>10</v>
      </c>
      <c r="B157" s="372" t="s">
        <v>47</v>
      </c>
      <c r="C157" s="372"/>
      <c r="D157" s="372"/>
      <c r="E157" s="372"/>
      <c r="F157" s="203">
        <v>0.13400000000000001</v>
      </c>
      <c r="G157" s="99">
        <f>ROUND(F157*G156,2)</f>
        <v>1250.49</v>
      </c>
      <c r="H157" s="33"/>
      <c r="I157" s="19"/>
    </row>
    <row r="158" spans="1:9" ht="46.5" customHeight="1">
      <c r="A158" s="481" t="s">
        <v>197</v>
      </c>
      <c r="B158" s="481"/>
      <c r="C158" s="481"/>
      <c r="D158" s="481"/>
      <c r="E158" s="481"/>
      <c r="F158" s="481"/>
      <c r="G158" s="98">
        <f>SUM(G50+G106+G117+G142+G150+G155+G157)</f>
        <v>10582.472</v>
      </c>
      <c r="H158" s="33"/>
      <c r="I158" s="19"/>
    </row>
    <row r="159" spans="1:9">
      <c r="A159" s="96" t="s">
        <v>12</v>
      </c>
      <c r="B159" s="372" t="s">
        <v>48</v>
      </c>
      <c r="C159" s="372"/>
      <c r="D159" s="372"/>
      <c r="E159" s="372"/>
      <c r="F159" s="97">
        <f>SUM(F160:F163)</f>
        <v>0.1225</v>
      </c>
      <c r="G159" s="197">
        <f>SUM(G160:G163)</f>
        <v>1477.32</v>
      </c>
      <c r="H159" s="373" t="s">
        <v>264</v>
      </c>
      <c r="I159" s="374"/>
    </row>
    <row r="160" spans="1:9">
      <c r="A160" s="490" t="s">
        <v>200</v>
      </c>
      <c r="B160" s="479" t="s">
        <v>203</v>
      </c>
      <c r="C160" s="479"/>
      <c r="D160" s="369" t="s">
        <v>34</v>
      </c>
      <c r="E160" s="369"/>
      <c r="F160" s="100">
        <f>IF(E8=1,0.0165,IF(E8=2,0.0065,IF(E8=3,I162,IF(E8=4,I162,¨RT Indefinido¨))))</f>
        <v>1.6500000000000001E-2</v>
      </c>
      <c r="G160" s="98">
        <f>ROUND(($G$158/(1-$F$159))*F160,2)</f>
        <v>198.99</v>
      </c>
      <c r="H160" s="221" t="s">
        <v>265</v>
      </c>
      <c r="I160" s="115" t="s">
        <v>266</v>
      </c>
    </row>
    <row r="161" spans="1:9">
      <c r="A161" s="375"/>
      <c r="B161" s="479"/>
      <c r="C161" s="479"/>
      <c r="D161" s="442" t="s">
        <v>198</v>
      </c>
      <c r="E161" s="442"/>
      <c r="F161" s="100">
        <f>IF(E8=1,0.076,IF(E8=2,0.03,IF(E8=3,I161,IF(E8=4,I161,¨RT Indefinido¨))))</f>
        <v>7.5999999999999998E-2</v>
      </c>
      <c r="G161" s="98">
        <f>ROUND(($G$158/(1-$F$159))*F161,2)</f>
        <v>916.54</v>
      </c>
      <c r="H161" s="222" t="s">
        <v>198</v>
      </c>
      <c r="I161" s="116">
        <v>0</v>
      </c>
    </row>
    <row r="162" spans="1:9">
      <c r="A162" s="92" t="s">
        <v>201</v>
      </c>
      <c r="B162" s="479" t="s">
        <v>204</v>
      </c>
      <c r="C162" s="479"/>
      <c r="D162" s="368" t="s">
        <v>206</v>
      </c>
      <c r="E162" s="369"/>
      <c r="F162" s="100">
        <v>0</v>
      </c>
      <c r="G162" s="98">
        <v>0</v>
      </c>
      <c r="H162" s="222" t="s">
        <v>34</v>
      </c>
      <c r="I162" s="116">
        <v>0</v>
      </c>
    </row>
    <row r="163" spans="1:9">
      <c r="A163" s="92" t="s">
        <v>202</v>
      </c>
      <c r="B163" s="479" t="s">
        <v>205</v>
      </c>
      <c r="C163" s="479"/>
      <c r="D163" s="369" t="s">
        <v>199</v>
      </c>
      <c r="E163" s="369"/>
      <c r="F163" s="204">
        <v>0.03</v>
      </c>
      <c r="G163" s="93">
        <f>ROUND(($G$158/(1-$F$159))*F163,2)</f>
        <v>361.79</v>
      </c>
      <c r="H163" s="222" t="s">
        <v>267</v>
      </c>
      <c r="I163" s="116">
        <v>0</v>
      </c>
    </row>
    <row r="164" spans="1:9">
      <c r="A164" s="474" t="s">
        <v>207</v>
      </c>
      <c r="B164" s="474"/>
      <c r="C164" s="474"/>
      <c r="D164" s="474"/>
      <c r="E164" s="474"/>
      <c r="F164" s="474"/>
      <c r="G164" s="102">
        <f>SUM(G155+G157+G159)</f>
        <v>3921.67</v>
      </c>
      <c r="H164" s="20"/>
      <c r="I164" s="19"/>
    </row>
    <row r="165" spans="1:9">
      <c r="A165" s="124" t="s">
        <v>215</v>
      </c>
      <c r="B165" s="486" t="s">
        <v>209</v>
      </c>
      <c r="C165" s="486"/>
      <c r="D165" s="486"/>
      <c r="E165" s="486"/>
      <c r="F165" s="486"/>
      <c r="G165" s="486"/>
      <c r="H165" s="20"/>
      <c r="I165" s="19"/>
    </row>
    <row r="166" spans="1:9">
      <c r="A166" s="487" t="s">
        <v>302</v>
      </c>
      <c r="B166" s="488" t="s">
        <v>210</v>
      </c>
      <c r="C166" s="489" t="s">
        <v>211</v>
      </c>
      <c r="D166" s="489"/>
      <c r="E166" s="344"/>
      <c r="F166" s="345"/>
      <c r="G166" s="346"/>
      <c r="H166" s="20"/>
      <c r="I166" s="19"/>
    </row>
    <row r="167" spans="1:9">
      <c r="A167" s="487"/>
      <c r="B167" s="488"/>
      <c r="C167" s="489" t="s">
        <v>212</v>
      </c>
      <c r="D167" s="489"/>
      <c r="E167" s="347" t="s">
        <v>214</v>
      </c>
      <c r="F167" s="345"/>
      <c r="G167" s="346"/>
      <c r="H167" s="20"/>
      <c r="I167" s="19"/>
    </row>
    <row r="168" spans="1:9">
      <c r="A168" s="487"/>
      <c r="B168" s="488"/>
      <c r="C168" s="489" t="s">
        <v>213</v>
      </c>
      <c r="D168" s="489"/>
      <c r="E168" s="344"/>
      <c r="F168" s="345"/>
      <c r="G168" s="346"/>
      <c r="H168" s="20"/>
      <c r="I168" s="19"/>
    </row>
    <row r="169" spans="1:9">
      <c r="A169" s="348"/>
      <c r="B169" s="349"/>
      <c r="C169" s="350"/>
      <c r="D169" s="350"/>
      <c r="E169" s="351"/>
      <c r="F169" s="352"/>
      <c r="G169" s="353"/>
      <c r="H169" s="20"/>
      <c r="I169" s="19"/>
    </row>
    <row r="170" spans="1:9">
      <c r="A170" s="328"/>
      <c r="B170" s="354"/>
      <c r="C170" s="354"/>
      <c r="D170" s="355"/>
      <c r="E170" s="355"/>
      <c r="F170" s="355"/>
      <c r="G170" s="355"/>
      <c r="H170" s="3"/>
      <c r="I170" s="7"/>
    </row>
    <row r="171" spans="1:9">
      <c r="A171" s="484" t="s">
        <v>216</v>
      </c>
      <c r="B171" s="484"/>
      <c r="C171" s="484"/>
      <c r="D171" s="484"/>
      <c r="E171" s="484"/>
      <c r="F171" s="484"/>
      <c r="G171" s="484"/>
      <c r="H171" s="3"/>
      <c r="I171" s="7"/>
    </row>
    <row r="172" spans="1:9">
      <c r="A172" s="485" t="s">
        <v>217</v>
      </c>
      <c r="B172" s="485"/>
      <c r="C172" s="485"/>
      <c r="D172" s="485"/>
      <c r="E172" s="485"/>
      <c r="F172" s="485"/>
      <c r="G172" s="103" t="s">
        <v>119</v>
      </c>
      <c r="H172" s="3"/>
      <c r="I172" s="7"/>
    </row>
    <row r="173" spans="1:9">
      <c r="A173" s="330" t="s">
        <v>8</v>
      </c>
      <c r="B173" s="471" t="s">
        <v>56</v>
      </c>
      <c r="C173" s="471"/>
      <c r="D173" s="471"/>
      <c r="E173" s="471"/>
      <c r="F173" s="471"/>
      <c r="G173" s="109">
        <f>G50</f>
        <v>3892.5</v>
      </c>
      <c r="H173" s="3"/>
      <c r="I173" s="7"/>
    </row>
    <row r="174" spans="1:9">
      <c r="A174" s="330" t="s">
        <v>10</v>
      </c>
      <c r="B174" s="471" t="s">
        <v>218</v>
      </c>
      <c r="C174" s="471"/>
      <c r="D174" s="471"/>
      <c r="E174" s="471"/>
      <c r="F174" s="471"/>
      <c r="G174" s="109">
        <f>G106</f>
        <v>2972.2</v>
      </c>
      <c r="H174" s="3"/>
      <c r="I174" s="7"/>
    </row>
    <row r="175" spans="1:9">
      <c r="A175" s="330" t="s">
        <v>12</v>
      </c>
      <c r="B175" s="471" t="s">
        <v>50</v>
      </c>
      <c r="C175" s="471"/>
      <c r="D175" s="471"/>
      <c r="E175" s="471"/>
      <c r="F175" s="471"/>
      <c r="G175" s="109">
        <f>G117</f>
        <v>216.88</v>
      </c>
      <c r="H175" s="3"/>
      <c r="I175" s="7"/>
    </row>
    <row r="176" spans="1:9">
      <c r="A176" s="330" t="s">
        <v>13</v>
      </c>
      <c r="B176" s="471" t="s">
        <v>51</v>
      </c>
      <c r="C176" s="471"/>
      <c r="D176" s="471"/>
      <c r="E176" s="471"/>
      <c r="F176" s="471"/>
      <c r="G176" s="109">
        <f>G142</f>
        <v>675.26</v>
      </c>
      <c r="H176" s="20"/>
      <c r="I176" s="19"/>
    </row>
    <row r="177" spans="1:9">
      <c r="A177" s="92" t="s">
        <v>22</v>
      </c>
      <c r="B177" s="471" t="s">
        <v>52</v>
      </c>
      <c r="C177" s="471"/>
      <c r="D177" s="471"/>
      <c r="E177" s="471"/>
      <c r="F177" s="471"/>
      <c r="G177" s="109">
        <f>G150</f>
        <v>381.28200000000004</v>
      </c>
      <c r="H177" s="20"/>
      <c r="I177" s="19"/>
    </row>
    <row r="178" spans="1:9">
      <c r="A178" s="480" t="s">
        <v>49</v>
      </c>
      <c r="B178" s="480"/>
      <c r="C178" s="480"/>
      <c r="D178" s="480"/>
      <c r="E178" s="480"/>
      <c r="F178" s="480"/>
      <c r="G178" s="356">
        <f>SUM(G173:G177)</f>
        <v>8138.1220000000003</v>
      </c>
      <c r="H178" s="20"/>
      <c r="I178" s="19"/>
    </row>
    <row r="179" spans="1:9">
      <c r="A179" s="92" t="s">
        <v>23</v>
      </c>
      <c r="B179" s="471" t="s">
        <v>55</v>
      </c>
      <c r="C179" s="471"/>
      <c r="D179" s="471"/>
      <c r="E179" s="471"/>
      <c r="F179" s="471"/>
      <c r="G179" s="109">
        <f>G164</f>
        <v>3921.67</v>
      </c>
      <c r="H179" s="20"/>
      <c r="I179" s="19"/>
    </row>
    <row r="180" spans="1:9" ht="15.75">
      <c r="A180" s="483" t="s">
        <v>320</v>
      </c>
      <c r="B180" s="483"/>
      <c r="C180" s="483"/>
      <c r="D180" s="483"/>
      <c r="E180" s="483"/>
      <c r="F180" s="483"/>
      <c r="G180" s="104">
        <f>SUM(G178:G179)</f>
        <v>12059.792000000001</v>
      </c>
      <c r="H180" s="25"/>
      <c r="I180" s="7"/>
    </row>
  </sheetData>
  <mergeCells count="200">
    <mergeCell ref="B3:D3"/>
    <mergeCell ref="F3:G3"/>
    <mergeCell ref="B75:D75"/>
    <mergeCell ref="B76:D76"/>
    <mergeCell ref="B77:D77"/>
    <mergeCell ref="H159:I159"/>
    <mergeCell ref="A1:G1"/>
    <mergeCell ref="A2:G2"/>
    <mergeCell ref="B4:G4"/>
    <mergeCell ref="A5:G5"/>
    <mergeCell ref="A6:B6"/>
    <mergeCell ref="C6:G6"/>
    <mergeCell ref="B44:F44"/>
    <mergeCell ref="B11:D11"/>
    <mergeCell ref="E11:G11"/>
    <mergeCell ref="B12:E12"/>
    <mergeCell ref="F12:G12"/>
    <mergeCell ref="B13:F13"/>
    <mergeCell ref="A18:G18"/>
    <mergeCell ref="A7:B7"/>
    <mergeCell ref="C7:G7"/>
    <mergeCell ref="A8:C8"/>
    <mergeCell ref="A9:G9"/>
    <mergeCell ref="B10:D10"/>
    <mergeCell ref="E10:G10"/>
    <mergeCell ref="B25:F25"/>
    <mergeCell ref="B26:F26"/>
    <mergeCell ref="B27:F27"/>
    <mergeCell ref="B28:F28"/>
    <mergeCell ref="B29:F29"/>
    <mergeCell ref="B30:F30"/>
    <mergeCell ref="A19:G19"/>
    <mergeCell ref="A20:G20"/>
    <mergeCell ref="A21:G21"/>
    <mergeCell ref="B22:F22"/>
    <mergeCell ref="B23:F23"/>
    <mergeCell ref="B24:F24"/>
    <mergeCell ref="A14:G14"/>
    <mergeCell ref="A15:C15"/>
    <mergeCell ref="D15:E15"/>
    <mergeCell ref="F15:G15"/>
    <mergeCell ref="A16:C17"/>
    <mergeCell ref="D16:E17"/>
    <mergeCell ref="F16:G17"/>
    <mergeCell ref="B38:G38"/>
    <mergeCell ref="A41:G41"/>
    <mergeCell ref="B42:D42"/>
    <mergeCell ref="E42:F42"/>
    <mergeCell ref="B43:F43"/>
    <mergeCell ref="B46:F46"/>
    <mergeCell ref="B31:F31"/>
    <mergeCell ref="B32:F32"/>
    <mergeCell ref="B34:F34"/>
    <mergeCell ref="B35:F35"/>
    <mergeCell ref="B36:F36"/>
    <mergeCell ref="B37:G37"/>
    <mergeCell ref="B45:F45"/>
    <mergeCell ref="B33:F33"/>
    <mergeCell ref="A59:G59"/>
    <mergeCell ref="B60:F60"/>
    <mergeCell ref="B61:F61"/>
    <mergeCell ref="B62:F62"/>
    <mergeCell ref="A63:F63"/>
    <mergeCell ref="B64:G64"/>
    <mergeCell ref="B47:F47"/>
    <mergeCell ref="B48:D48"/>
    <mergeCell ref="E48:F48"/>
    <mergeCell ref="B49:F49"/>
    <mergeCell ref="A50:F50"/>
    <mergeCell ref="B56:G56"/>
    <mergeCell ref="B51:F51"/>
    <mergeCell ref="A52:F52"/>
    <mergeCell ref="B55:G55"/>
    <mergeCell ref="A54:F54"/>
    <mergeCell ref="B71:D71"/>
    <mergeCell ref="E71:F71"/>
    <mergeCell ref="B72:D72"/>
    <mergeCell ref="E72:F72"/>
    <mergeCell ref="B73:D73"/>
    <mergeCell ref="E73:F73"/>
    <mergeCell ref="B65:G65"/>
    <mergeCell ref="B68:G68"/>
    <mergeCell ref="B69:D69"/>
    <mergeCell ref="E69:F69"/>
    <mergeCell ref="B70:D70"/>
    <mergeCell ref="E70:F70"/>
    <mergeCell ref="A85:A88"/>
    <mergeCell ref="B85:B88"/>
    <mergeCell ref="C85:D85"/>
    <mergeCell ref="E85:F85"/>
    <mergeCell ref="G85:G88"/>
    <mergeCell ref="B74:D74"/>
    <mergeCell ref="E74:F74"/>
    <mergeCell ref="E75:F75"/>
    <mergeCell ref="E76:F76"/>
    <mergeCell ref="E77:F77"/>
    <mergeCell ref="A78:D78"/>
    <mergeCell ref="E78:F78"/>
    <mergeCell ref="C86:D86"/>
    <mergeCell ref="E86:F86"/>
    <mergeCell ref="C87:D87"/>
    <mergeCell ref="E87:F87"/>
    <mergeCell ref="C88:D88"/>
    <mergeCell ref="E88:F88"/>
    <mergeCell ref="B79:G79"/>
    <mergeCell ref="B80:G80"/>
    <mergeCell ref="B83:G83"/>
    <mergeCell ref="B84:F84"/>
    <mergeCell ref="A89:A91"/>
    <mergeCell ref="B89:B91"/>
    <mergeCell ref="C89:D89"/>
    <mergeCell ref="E89:F89"/>
    <mergeCell ref="G89:G91"/>
    <mergeCell ref="C90:D90"/>
    <mergeCell ref="E90:F90"/>
    <mergeCell ref="C91:D91"/>
    <mergeCell ref="E91:F91"/>
    <mergeCell ref="B98:G98"/>
    <mergeCell ref="A101:G101"/>
    <mergeCell ref="B102:F102"/>
    <mergeCell ref="B103:F103"/>
    <mergeCell ref="B104:F104"/>
    <mergeCell ref="B105:F105"/>
    <mergeCell ref="B92:F92"/>
    <mergeCell ref="B93:F93"/>
    <mergeCell ref="B94:F94"/>
    <mergeCell ref="B95:F95"/>
    <mergeCell ref="A96:F96"/>
    <mergeCell ref="B97:G97"/>
    <mergeCell ref="A136:F136"/>
    <mergeCell ref="A138:G138"/>
    <mergeCell ref="B129:F129"/>
    <mergeCell ref="B130:F130"/>
    <mergeCell ref="B131:F131"/>
    <mergeCell ref="A132:F132"/>
    <mergeCell ref="B134:F134"/>
    <mergeCell ref="B135:F135"/>
    <mergeCell ref="A106:F106"/>
    <mergeCell ref="A109:G109"/>
    <mergeCell ref="B110:F110"/>
    <mergeCell ref="B111:F111"/>
    <mergeCell ref="B112:F112"/>
    <mergeCell ref="B113:F113"/>
    <mergeCell ref="A123:D123"/>
    <mergeCell ref="E123:F123"/>
    <mergeCell ref="B125:F125"/>
    <mergeCell ref="B126:F126"/>
    <mergeCell ref="B127:F127"/>
    <mergeCell ref="B128:F128"/>
    <mergeCell ref="B114:F114"/>
    <mergeCell ref="B115:F115"/>
    <mergeCell ref="B116:F116"/>
    <mergeCell ref="A117:F117"/>
    <mergeCell ref="A120:G120"/>
    <mergeCell ref="A121:G121"/>
    <mergeCell ref="A180:F180"/>
    <mergeCell ref="E8:F8"/>
    <mergeCell ref="A171:G171"/>
    <mergeCell ref="A172:F172"/>
    <mergeCell ref="B173:F173"/>
    <mergeCell ref="B174:F174"/>
    <mergeCell ref="B175:F175"/>
    <mergeCell ref="B176:F176"/>
    <mergeCell ref="B163:C163"/>
    <mergeCell ref="D163:E163"/>
    <mergeCell ref="A164:F164"/>
    <mergeCell ref="B165:G165"/>
    <mergeCell ref="A166:A168"/>
    <mergeCell ref="B166:B168"/>
    <mergeCell ref="C166:D166"/>
    <mergeCell ref="C167:D167"/>
    <mergeCell ref="C168:D168"/>
    <mergeCell ref="B159:E159"/>
    <mergeCell ref="A160:A161"/>
    <mergeCell ref="B160:C161"/>
    <mergeCell ref="D160:E160"/>
    <mergeCell ref="D161:E161"/>
    <mergeCell ref="B179:F179"/>
    <mergeCell ref="B148:F148"/>
    <mergeCell ref="B149:F149"/>
    <mergeCell ref="A150:F150"/>
    <mergeCell ref="A152:G152"/>
    <mergeCell ref="B139:F139"/>
    <mergeCell ref="B140:F140"/>
    <mergeCell ref="B141:F141"/>
    <mergeCell ref="A142:F142"/>
    <mergeCell ref="B177:F177"/>
    <mergeCell ref="A145:G145"/>
    <mergeCell ref="B146:F146"/>
    <mergeCell ref="B143:G143"/>
    <mergeCell ref="B162:C162"/>
    <mergeCell ref="B147:F147"/>
    <mergeCell ref="A178:F178"/>
    <mergeCell ref="D162:E162"/>
    <mergeCell ref="B153:E153"/>
    <mergeCell ref="A154:F154"/>
    <mergeCell ref="B155:E155"/>
    <mergeCell ref="A156:F156"/>
    <mergeCell ref="B157:E157"/>
    <mergeCell ref="A158:F158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300" verticalDpi="300" r:id="rId1"/>
  <headerFooter>
    <oddFooter>&amp;C&amp;A&amp;R&amp;P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topLeftCell="A22" zoomScaleNormal="100" workbookViewId="0">
      <selection activeCell="D33" sqref="D33"/>
    </sheetView>
  </sheetViews>
  <sheetFormatPr defaultRowHeight="15"/>
  <cols>
    <col min="1" max="1" width="39.28515625" customWidth="1"/>
    <col min="2" max="2" width="18.28515625" customWidth="1"/>
    <col min="3" max="3" width="15.5703125" customWidth="1"/>
    <col min="4" max="4" width="17.5703125" customWidth="1"/>
    <col min="5" max="6" width="15.140625" customWidth="1"/>
    <col min="7" max="7" width="14.85546875" customWidth="1"/>
    <col min="8" max="8" width="14" customWidth="1"/>
  </cols>
  <sheetData>
    <row r="1" spans="1:8" ht="15.75">
      <c r="A1" s="569" t="s">
        <v>180</v>
      </c>
      <c r="B1" s="569"/>
      <c r="C1" s="569"/>
      <c r="D1" s="569"/>
      <c r="E1" s="569"/>
      <c r="F1" s="569"/>
      <c r="G1" s="569"/>
      <c r="H1" s="569"/>
    </row>
    <row r="2" spans="1:8" ht="16.5">
      <c r="A2" s="570" t="s">
        <v>179</v>
      </c>
      <c r="B2" s="570"/>
      <c r="C2" s="570"/>
      <c r="D2" s="570"/>
      <c r="E2" s="570"/>
      <c r="F2" s="570"/>
      <c r="G2" s="570"/>
      <c r="H2" s="570"/>
    </row>
    <row r="3" spans="1:8">
      <c r="A3" s="571" t="s">
        <v>57</v>
      </c>
      <c r="B3" s="572" t="s">
        <v>149</v>
      </c>
      <c r="C3" s="573" t="s">
        <v>150</v>
      </c>
      <c r="D3" s="573" t="s">
        <v>151</v>
      </c>
      <c r="E3" s="572" t="s">
        <v>152</v>
      </c>
      <c r="F3" s="574" t="s">
        <v>153</v>
      </c>
      <c r="G3" s="574" t="s">
        <v>154</v>
      </c>
      <c r="H3" s="574" t="s">
        <v>155</v>
      </c>
    </row>
    <row r="4" spans="1:8">
      <c r="A4" s="571"/>
      <c r="B4" s="572"/>
      <c r="C4" s="573"/>
      <c r="D4" s="573"/>
      <c r="E4" s="572"/>
      <c r="F4" s="574"/>
      <c r="G4" s="574"/>
      <c r="H4" s="574"/>
    </row>
    <row r="5" spans="1:8">
      <c r="A5" s="60" t="s">
        <v>156</v>
      </c>
      <c r="B5" s="79" t="s">
        <v>188</v>
      </c>
      <c r="C5" s="61" t="s">
        <v>35</v>
      </c>
      <c r="D5" s="62">
        <v>113.2</v>
      </c>
      <c r="E5" s="63">
        <v>30</v>
      </c>
      <c r="F5" s="64">
        <v>5</v>
      </c>
      <c r="G5" s="64">
        <f>F5*2</f>
        <v>10</v>
      </c>
      <c r="H5" s="65">
        <f>D5*G5/E5</f>
        <v>37.733333333333334</v>
      </c>
    </row>
    <row r="6" spans="1:8">
      <c r="A6" s="66" t="s">
        <v>157</v>
      </c>
      <c r="B6" s="79" t="s">
        <v>188</v>
      </c>
      <c r="C6" s="61" t="s">
        <v>158</v>
      </c>
      <c r="D6" s="62">
        <v>90.73</v>
      </c>
      <c r="E6" s="63">
        <v>30</v>
      </c>
      <c r="F6" s="64">
        <v>1</v>
      </c>
      <c r="G6" s="64">
        <f t="shared" ref="G6:G12" si="0">F6*2</f>
        <v>2</v>
      </c>
      <c r="H6" s="65">
        <f t="shared" ref="H6:H12" si="1">D6*G6/E6</f>
        <v>6.0486666666666666</v>
      </c>
    </row>
    <row r="7" spans="1:8">
      <c r="A7" s="60" t="s">
        <v>159</v>
      </c>
      <c r="B7" s="79" t="s">
        <v>188</v>
      </c>
      <c r="C7" s="61" t="s">
        <v>35</v>
      </c>
      <c r="D7" s="62">
        <v>69.930000000000007</v>
      </c>
      <c r="E7" s="63">
        <v>30</v>
      </c>
      <c r="F7" s="64">
        <v>5</v>
      </c>
      <c r="G7" s="64">
        <f t="shared" si="0"/>
        <v>10</v>
      </c>
      <c r="H7" s="65">
        <f t="shared" si="1"/>
        <v>23.310000000000002</v>
      </c>
    </row>
    <row r="8" spans="1:8">
      <c r="A8" s="60" t="s">
        <v>160</v>
      </c>
      <c r="B8" s="79" t="s">
        <v>188</v>
      </c>
      <c r="C8" s="61" t="s">
        <v>35</v>
      </c>
      <c r="D8" s="62">
        <v>89.93</v>
      </c>
      <c r="E8" s="63">
        <v>30</v>
      </c>
      <c r="F8" s="64">
        <v>5</v>
      </c>
      <c r="G8" s="64">
        <f t="shared" si="0"/>
        <v>10</v>
      </c>
      <c r="H8" s="65">
        <f t="shared" si="1"/>
        <v>29.97666666666667</v>
      </c>
    </row>
    <row r="9" spans="1:8">
      <c r="A9" s="66" t="s">
        <v>161</v>
      </c>
      <c r="B9" s="80" t="s">
        <v>188</v>
      </c>
      <c r="C9" s="67" t="s">
        <v>35</v>
      </c>
      <c r="D9" s="62">
        <v>29.97</v>
      </c>
      <c r="E9" s="63">
        <v>30</v>
      </c>
      <c r="F9" s="64">
        <v>2</v>
      </c>
      <c r="G9" s="64">
        <f t="shared" si="0"/>
        <v>4</v>
      </c>
      <c r="H9" s="65">
        <f t="shared" si="1"/>
        <v>3.996</v>
      </c>
    </row>
    <row r="10" spans="1:8">
      <c r="A10" s="60" t="s">
        <v>162</v>
      </c>
      <c r="B10" s="81" t="s">
        <v>188</v>
      </c>
      <c r="C10" s="61" t="s">
        <v>163</v>
      </c>
      <c r="D10" s="62">
        <v>138.03</v>
      </c>
      <c r="E10" s="63">
        <v>30</v>
      </c>
      <c r="F10" s="64">
        <v>2</v>
      </c>
      <c r="G10" s="64">
        <f t="shared" si="0"/>
        <v>4</v>
      </c>
      <c r="H10" s="65">
        <f t="shared" si="1"/>
        <v>18.404</v>
      </c>
    </row>
    <row r="11" spans="1:8">
      <c r="A11" s="60" t="s">
        <v>164</v>
      </c>
      <c r="B11" s="79" t="s">
        <v>188</v>
      </c>
      <c r="C11" s="61" t="s">
        <v>163</v>
      </c>
      <c r="D11" s="62">
        <v>7.38</v>
      </c>
      <c r="E11" s="63">
        <v>30</v>
      </c>
      <c r="F11" s="64">
        <v>5</v>
      </c>
      <c r="G11" s="64">
        <f t="shared" si="0"/>
        <v>10</v>
      </c>
      <c r="H11" s="65">
        <f t="shared" si="1"/>
        <v>2.46</v>
      </c>
    </row>
    <row r="12" spans="1:8">
      <c r="A12" s="60" t="s">
        <v>165</v>
      </c>
      <c r="B12" s="82" t="s">
        <v>188</v>
      </c>
      <c r="C12" s="61" t="s">
        <v>35</v>
      </c>
      <c r="D12" s="68">
        <v>6.23</v>
      </c>
      <c r="E12" s="63">
        <v>30</v>
      </c>
      <c r="F12" s="64">
        <v>5</v>
      </c>
      <c r="G12" s="64">
        <f t="shared" si="0"/>
        <v>10</v>
      </c>
      <c r="H12" s="65">
        <f t="shared" si="1"/>
        <v>2.0766666666666667</v>
      </c>
    </row>
    <row r="13" spans="1:8">
      <c r="A13" s="575" t="s">
        <v>166</v>
      </c>
      <c r="B13" s="575"/>
      <c r="C13" s="575"/>
      <c r="D13" s="575"/>
      <c r="E13" s="575"/>
      <c r="F13" s="575"/>
      <c r="G13" s="575"/>
      <c r="H13" s="69">
        <f>SUM(H5:H12)</f>
        <v>124.00533333333334</v>
      </c>
    </row>
    <row r="14" spans="1:8">
      <c r="A14" s="576"/>
      <c r="B14" s="576"/>
      <c r="C14" s="576"/>
      <c r="D14" s="576"/>
      <c r="E14" s="576"/>
      <c r="F14" s="576"/>
      <c r="G14" s="576"/>
      <c r="H14" s="576"/>
    </row>
    <row r="15" spans="1:8" ht="15.75">
      <c r="A15" s="578" t="s">
        <v>167</v>
      </c>
      <c r="B15" s="578"/>
      <c r="C15" s="578"/>
      <c r="D15" s="578"/>
      <c r="E15" s="578"/>
      <c r="F15" s="578"/>
      <c r="G15" s="578"/>
      <c r="H15" s="578"/>
    </row>
    <row r="16" spans="1:8">
      <c r="A16" s="571" t="s">
        <v>57</v>
      </c>
      <c r="B16" s="572" t="s">
        <v>149</v>
      </c>
      <c r="C16" s="573" t="s">
        <v>150</v>
      </c>
      <c r="D16" s="573" t="s">
        <v>151</v>
      </c>
      <c r="E16" s="572" t="s">
        <v>152</v>
      </c>
      <c r="F16" s="574" t="s">
        <v>154</v>
      </c>
      <c r="G16" s="574"/>
      <c r="H16" s="574" t="s">
        <v>155</v>
      </c>
    </row>
    <row r="17" spans="1:8">
      <c r="A17" s="571"/>
      <c r="B17" s="572"/>
      <c r="C17" s="573"/>
      <c r="D17" s="573"/>
      <c r="E17" s="572"/>
      <c r="F17" s="574"/>
      <c r="G17" s="574"/>
      <c r="H17" s="574"/>
    </row>
    <row r="18" spans="1:8" ht="45">
      <c r="A18" s="86" t="s">
        <v>183</v>
      </c>
      <c r="B18" s="83" t="s">
        <v>188</v>
      </c>
      <c r="C18" s="71" t="s">
        <v>35</v>
      </c>
      <c r="D18" s="76">
        <v>18.07</v>
      </c>
      <c r="E18" s="73">
        <v>30</v>
      </c>
      <c r="F18" s="577">
        <v>1</v>
      </c>
      <c r="G18" s="577"/>
      <c r="H18" s="74">
        <f>D18*F18/E18</f>
        <v>0.60233333333333339</v>
      </c>
    </row>
    <row r="19" spans="1:8">
      <c r="A19" s="87" t="s">
        <v>168</v>
      </c>
      <c r="B19" s="80" t="s">
        <v>188</v>
      </c>
      <c r="C19" s="71" t="s">
        <v>35</v>
      </c>
      <c r="D19" s="72">
        <v>35.14</v>
      </c>
      <c r="E19" s="73">
        <v>30</v>
      </c>
      <c r="F19" s="577">
        <v>1</v>
      </c>
      <c r="G19" s="577"/>
      <c r="H19" s="74">
        <f t="shared" ref="H19:H23" si="2">D19*F19/E19</f>
        <v>1.1713333333333333</v>
      </c>
    </row>
    <row r="20" spans="1:8">
      <c r="A20" s="87" t="s">
        <v>169</v>
      </c>
      <c r="B20" s="80" t="s">
        <v>188</v>
      </c>
      <c r="C20" s="71" t="s">
        <v>35</v>
      </c>
      <c r="D20" s="72">
        <v>26.97</v>
      </c>
      <c r="E20" s="73">
        <v>30</v>
      </c>
      <c r="F20" s="577">
        <v>1</v>
      </c>
      <c r="G20" s="577"/>
      <c r="H20" s="74">
        <f t="shared" si="2"/>
        <v>0.89899999999999991</v>
      </c>
    </row>
    <row r="21" spans="1:8">
      <c r="A21" s="85" t="s">
        <v>170</v>
      </c>
      <c r="B21" s="84" t="s">
        <v>188</v>
      </c>
      <c r="C21" s="71" t="s">
        <v>35</v>
      </c>
      <c r="D21" s="72">
        <v>21.07</v>
      </c>
      <c r="E21" s="73">
        <v>30</v>
      </c>
      <c r="F21" s="577">
        <v>1</v>
      </c>
      <c r="G21" s="577"/>
      <c r="H21" s="74">
        <f t="shared" si="2"/>
        <v>0.70233333333333337</v>
      </c>
    </row>
    <row r="22" spans="1:8">
      <c r="A22" s="88" t="s">
        <v>171</v>
      </c>
      <c r="B22" s="79" t="s">
        <v>188</v>
      </c>
      <c r="C22" s="71" t="s">
        <v>35</v>
      </c>
      <c r="D22" s="72">
        <v>29.2</v>
      </c>
      <c r="E22" s="73">
        <v>30</v>
      </c>
      <c r="F22" s="577">
        <v>1</v>
      </c>
      <c r="G22" s="577"/>
      <c r="H22" s="74">
        <f t="shared" si="2"/>
        <v>0.97333333333333327</v>
      </c>
    </row>
    <row r="23" spans="1:8">
      <c r="A23" s="88" t="s">
        <v>172</v>
      </c>
      <c r="B23" s="79" t="s">
        <v>188</v>
      </c>
      <c r="C23" s="71" t="s">
        <v>163</v>
      </c>
      <c r="D23" s="72">
        <v>52.6</v>
      </c>
      <c r="E23" s="73">
        <v>30</v>
      </c>
      <c r="F23" s="577">
        <v>1</v>
      </c>
      <c r="G23" s="577"/>
      <c r="H23" s="74">
        <f t="shared" si="2"/>
        <v>1.7533333333333334</v>
      </c>
    </row>
    <row r="24" spans="1:8">
      <c r="A24" s="579" t="s">
        <v>166</v>
      </c>
      <c r="B24" s="579"/>
      <c r="C24" s="579"/>
      <c r="D24" s="579"/>
      <c r="E24" s="579"/>
      <c r="F24" s="579"/>
      <c r="G24" s="579"/>
      <c r="H24" s="70">
        <f>SUM(H18:H23)</f>
        <v>6.1016666666666666</v>
      </c>
    </row>
    <row r="25" spans="1:8">
      <c r="A25" s="580"/>
      <c r="B25" s="580"/>
      <c r="C25" s="580"/>
      <c r="D25" s="580"/>
      <c r="E25" s="580"/>
      <c r="F25" s="580"/>
      <c r="G25" s="580"/>
      <c r="H25" s="580"/>
    </row>
    <row r="26" spans="1:8">
      <c r="A26" s="581" t="s">
        <v>173</v>
      </c>
      <c r="B26" s="581"/>
      <c r="C26" s="581"/>
      <c r="D26" s="581"/>
      <c r="E26" s="581"/>
      <c r="F26" s="581"/>
      <c r="G26" s="581"/>
      <c r="H26" s="581"/>
    </row>
    <row r="27" spans="1:8">
      <c r="A27" s="571" t="s">
        <v>57</v>
      </c>
      <c r="B27" s="572" t="s">
        <v>149</v>
      </c>
      <c r="C27" s="573" t="s">
        <v>150</v>
      </c>
      <c r="D27" s="573" t="s">
        <v>151</v>
      </c>
      <c r="E27" s="572" t="s">
        <v>152</v>
      </c>
      <c r="F27" s="574" t="s">
        <v>154</v>
      </c>
      <c r="G27" s="574"/>
      <c r="H27" s="574" t="s">
        <v>155</v>
      </c>
    </row>
    <row r="28" spans="1:8">
      <c r="A28" s="571"/>
      <c r="B28" s="572"/>
      <c r="C28" s="573"/>
      <c r="D28" s="573"/>
      <c r="E28" s="572"/>
      <c r="F28" s="574"/>
      <c r="G28" s="574"/>
      <c r="H28" s="574"/>
    </row>
    <row r="29" spans="1:8" ht="30">
      <c r="A29" s="86" t="s">
        <v>186</v>
      </c>
      <c r="B29" s="83" t="s">
        <v>188</v>
      </c>
      <c r="C29" s="71" t="s">
        <v>35</v>
      </c>
      <c r="D29" s="75">
        <v>4789</v>
      </c>
      <c r="E29" s="73">
        <v>30</v>
      </c>
      <c r="F29" s="577">
        <v>1</v>
      </c>
      <c r="G29" s="577"/>
      <c r="H29" s="77">
        <f>D29*F29/E29</f>
        <v>159.63333333333333</v>
      </c>
    </row>
    <row r="30" spans="1:8" ht="30">
      <c r="A30" s="86" t="s">
        <v>181</v>
      </c>
      <c r="B30" s="83" t="s">
        <v>188</v>
      </c>
      <c r="C30" s="71" t="s">
        <v>35</v>
      </c>
      <c r="D30" s="75">
        <v>36.770000000000003</v>
      </c>
      <c r="E30" s="73">
        <v>30</v>
      </c>
      <c r="F30" s="577">
        <v>1</v>
      </c>
      <c r="G30" s="577"/>
      <c r="H30" s="77">
        <f t="shared" ref="H30:H41" si="3">D30*F30/E30</f>
        <v>1.2256666666666667</v>
      </c>
    </row>
    <row r="31" spans="1:8" ht="30">
      <c r="A31" s="86" t="s">
        <v>185</v>
      </c>
      <c r="B31" s="83" t="s">
        <v>188</v>
      </c>
      <c r="C31" s="78" t="s">
        <v>187</v>
      </c>
      <c r="D31" s="75">
        <v>77.67</v>
      </c>
      <c r="E31" s="73">
        <v>30</v>
      </c>
      <c r="F31" s="577">
        <v>1</v>
      </c>
      <c r="G31" s="577"/>
      <c r="H31" s="77">
        <f t="shared" si="3"/>
        <v>2.589</v>
      </c>
    </row>
    <row r="32" spans="1:8">
      <c r="A32" s="87" t="s">
        <v>184</v>
      </c>
      <c r="B32" s="84" t="s">
        <v>188</v>
      </c>
      <c r="C32" s="71" t="s">
        <v>35</v>
      </c>
      <c r="D32" s="75">
        <v>1052.67</v>
      </c>
      <c r="E32" s="73">
        <v>30</v>
      </c>
      <c r="F32" s="577">
        <v>1</v>
      </c>
      <c r="G32" s="577"/>
      <c r="H32" s="77">
        <f t="shared" si="3"/>
        <v>35.089000000000006</v>
      </c>
    </row>
    <row r="33" spans="1:8">
      <c r="A33" s="87" t="s">
        <v>174</v>
      </c>
      <c r="B33" s="84" t="s">
        <v>188</v>
      </c>
      <c r="C33" s="71" t="s">
        <v>35</v>
      </c>
      <c r="D33" s="75">
        <v>223.88</v>
      </c>
      <c r="E33" s="73">
        <v>30</v>
      </c>
      <c r="F33" s="577">
        <v>2</v>
      </c>
      <c r="G33" s="577"/>
      <c r="H33" s="77">
        <f t="shared" si="3"/>
        <v>14.925333333333333</v>
      </c>
    </row>
    <row r="34" spans="1:8">
      <c r="A34" s="87" t="s">
        <v>168</v>
      </c>
      <c r="B34" s="80" t="s">
        <v>188</v>
      </c>
      <c r="C34" s="71" t="s">
        <v>35</v>
      </c>
      <c r="D34" s="75">
        <v>35.14</v>
      </c>
      <c r="E34" s="73">
        <v>30</v>
      </c>
      <c r="F34" s="577">
        <v>1</v>
      </c>
      <c r="G34" s="577"/>
      <c r="H34" s="77">
        <f t="shared" si="3"/>
        <v>1.1713333333333333</v>
      </c>
    </row>
    <row r="35" spans="1:8">
      <c r="A35" s="87" t="s">
        <v>169</v>
      </c>
      <c r="B35" s="84" t="s">
        <v>188</v>
      </c>
      <c r="C35" s="71" t="s">
        <v>35</v>
      </c>
      <c r="D35" s="75">
        <v>26.97</v>
      </c>
      <c r="E35" s="73">
        <v>30</v>
      </c>
      <c r="F35" s="577">
        <v>1</v>
      </c>
      <c r="G35" s="577"/>
      <c r="H35" s="77">
        <f t="shared" si="3"/>
        <v>0.89899999999999991</v>
      </c>
    </row>
    <row r="36" spans="1:8">
      <c r="A36" s="85" t="s">
        <v>170</v>
      </c>
      <c r="B36" s="84" t="s">
        <v>188</v>
      </c>
      <c r="C36" s="71" t="s">
        <v>35</v>
      </c>
      <c r="D36" s="75">
        <v>21.07</v>
      </c>
      <c r="E36" s="73">
        <v>30</v>
      </c>
      <c r="F36" s="577">
        <v>1</v>
      </c>
      <c r="G36" s="577"/>
      <c r="H36" s="77">
        <f t="shared" si="3"/>
        <v>0.70233333333333337</v>
      </c>
    </row>
    <row r="37" spans="1:8" ht="45">
      <c r="A37" s="86" t="s">
        <v>182</v>
      </c>
      <c r="B37" s="83" t="s">
        <v>188</v>
      </c>
      <c r="C37" s="71" t="s">
        <v>35</v>
      </c>
      <c r="D37" s="75">
        <v>120.5</v>
      </c>
      <c r="E37" s="73">
        <v>30</v>
      </c>
      <c r="F37" s="577">
        <v>1</v>
      </c>
      <c r="G37" s="577"/>
      <c r="H37" s="77">
        <f t="shared" si="3"/>
        <v>4.0166666666666666</v>
      </c>
    </row>
    <row r="38" spans="1:8" ht="45">
      <c r="A38" s="89" t="s">
        <v>175</v>
      </c>
      <c r="B38" s="83" t="s">
        <v>188</v>
      </c>
      <c r="C38" s="71" t="s">
        <v>176</v>
      </c>
      <c r="D38" s="75">
        <v>730</v>
      </c>
      <c r="E38" s="73">
        <v>30</v>
      </c>
      <c r="F38" s="577">
        <v>1</v>
      </c>
      <c r="G38" s="577"/>
      <c r="H38" s="77">
        <f t="shared" si="3"/>
        <v>24.333333333333332</v>
      </c>
    </row>
    <row r="39" spans="1:8" ht="30">
      <c r="A39" s="88" t="s">
        <v>177</v>
      </c>
      <c r="B39" s="82" t="s">
        <v>188</v>
      </c>
      <c r="C39" s="71" t="s">
        <v>35</v>
      </c>
      <c r="D39" s="76">
        <v>298.95</v>
      </c>
      <c r="E39" s="73">
        <v>30</v>
      </c>
      <c r="F39" s="577">
        <v>1</v>
      </c>
      <c r="G39" s="577"/>
      <c r="H39" s="77">
        <f t="shared" si="3"/>
        <v>9.9649999999999999</v>
      </c>
    </row>
    <row r="40" spans="1:8">
      <c r="A40" s="88" t="s">
        <v>171</v>
      </c>
      <c r="B40" s="79" t="s">
        <v>188</v>
      </c>
      <c r="C40" s="71" t="s">
        <v>35</v>
      </c>
      <c r="D40" s="76">
        <v>29.2</v>
      </c>
      <c r="E40" s="73">
        <v>30</v>
      </c>
      <c r="F40" s="577">
        <v>1</v>
      </c>
      <c r="G40" s="577"/>
      <c r="H40" s="77">
        <f t="shared" si="3"/>
        <v>0.97333333333333327</v>
      </c>
    </row>
    <row r="41" spans="1:8">
      <c r="A41" s="205" t="s">
        <v>172</v>
      </c>
      <c r="B41" s="79" t="s">
        <v>188</v>
      </c>
      <c r="C41" s="71" t="s">
        <v>163</v>
      </c>
      <c r="D41" s="76">
        <v>52.6</v>
      </c>
      <c r="E41" s="73">
        <v>30</v>
      </c>
      <c r="F41" s="577">
        <v>1</v>
      </c>
      <c r="G41" s="577"/>
      <c r="H41" s="77">
        <f t="shared" si="3"/>
        <v>1.7533333333333334</v>
      </c>
    </row>
    <row r="42" spans="1:8">
      <c r="A42" s="579" t="s">
        <v>166</v>
      </c>
      <c r="B42" s="579"/>
      <c r="C42" s="579"/>
      <c r="D42" s="579"/>
      <c r="E42" s="579"/>
      <c r="F42" s="579"/>
      <c r="G42" s="579"/>
      <c r="H42" s="47">
        <f>SUM(H29:H41)</f>
        <v>257.2766666666667</v>
      </c>
    </row>
    <row r="43" spans="1:8">
      <c r="A43" s="582" t="s">
        <v>178</v>
      </c>
      <c r="B43" s="582"/>
      <c r="C43" s="582"/>
      <c r="D43" s="582"/>
      <c r="E43" s="582"/>
      <c r="F43" s="582"/>
      <c r="G43" s="582"/>
      <c r="H43" s="582"/>
    </row>
  </sheetData>
  <mergeCells count="51">
    <mergeCell ref="F39:G39"/>
    <mergeCell ref="F40:G40"/>
    <mergeCell ref="F41:G41"/>
    <mergeCell ref="A42:G42"/>
    <mergeCell ref="A43:H43"/>
    <mergeCell ref="F38:G38"/>
    <mergeCell ref="F27:G28"/>
    <mergeCell ref="H27:H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2:G22"/>
    <mergeCell ref="F23:G23"/>
    <mergeCell ref="A24:G24"/>
    <mergeCell ref="A25:H25"/>
    <mergeCell ref="A26:H26"/>
    <mergeCell ref="A27:A28"/>
    <mergeCell ref="B27:B28"/>
    <mergeCell ref="C27:C28"/>
    <mergeCell ref="D27:D28"/>
    <mergeCell ref="E27:E28"/>
    <mergeCell ref="A13:G13"/>
    <mergeCell ref="A14:H14"/>
    <mergeCell ref="F21:G21"/>
    <mergeCell ref="A15:H15"/>
    <mergeCell ref="A16:A17"/>
    <mergeCell ref="B16:B17"/>
    <mergeCell ref="C16:C17"/>
    <mergeCell ref="D16:D17"/>
    <mergeCell ref="E16:E17"/>
    <mergeCell ref="F16:G17"/>
    <mergeCell ref="H16:H17"/>
    <mergeCell ref="F18:G18"/>
    <mergeCell ref="F19:G19"/>
    <mergeCell ref="F20:G20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51181102362204722" right="0.51181102362204722" top="0.78740157480314965" bottom="0.78740157480314965" header="0.31496062992125984" footer="0.31496062992125984"/>
  <pageSetup paperSize="9" scale="61" orientation="portrait" horizontalDpi="300" verticalDpi="300" r:id="rId1"/>
  <headerFooter>
    <oddFooter>&amp;C&amp;A&amp;R&amp;P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I44"/>
  <sheetViews>
    <sheetView topLeftCell="A7" zoomScaleNormal="100" workbookViewId="0">
      <selection sqref="A1:I1"/>
    </sheetView>
  </sheetViews>
  <sheetFormatPr defaultRowHeight="12"/>
  <cols>
    <col min="1" max="1" width="13.5703125" style="1" customWidth="1"/>
    <col min="2" max="2" width="13.85546875" style="1" customWidth="1"/>
    <col min="3" max="3" width="23" style="1" customWidth="1"/>
    <col min="4" max="4" width="9.140625" style="1"/>
    <col min="5" max="5" width="12.42578125" style="1" customWidth="1"/>
    <col min="6" max="6" width="9.140625" style="1"/>
    <col min="7" max="7" width="8.85546875" style="1" customWidth="1"/>
    <col min="8" max="8" width="9.140625" style="1"/>
    <col min="9" max="9" width="25.28515625" style="1" customWidth="1"/>
    <col min="10" max="263" width="9.140625" style="1"/>
    <col min="264" max="264" width="12" style="1" customWidth="1"/>
    <col min="265" max="519" width="9.140625" style="1"/>
    <col min="520" max="520" width="12" style="1" customWidth="1"/>
    <col min="521" max="775" width="9.140625" style="1"/>
    <col min="776" max="776" width="12" style="1" customWidth="1"/>
    <col min="777" max="1031" width="9.140625" style="1"/>
    <col min="1032" max="1032" width="12" style="1" customWidth="1"/>
    <col min="1033" max="1287" width="9.140625" style="1"/>
    <col min="1288" max="1288" width="12" style="1" customWidth="1"/>
    <col min="1289" max="1543" width="9.140625" style="1"/>
    <col min="1544" max="1544" width="12" style="1" customWidth="1"/>
    <col min="1545" max="1799" width="9.140625" style="1"/>
    <col min="1800" max="1800" width="12" style="1" customWidth="1"/>
    <col min="1801" max="2055" width="9.140625" style="1"/>
    <col min="2056" max="2056" width="12" style="1" customWidth="1"/>
    <col min="2057" max="2311" width="9.140625" style="1"/>
    <col min="2312" max="2312" width="12" style="1" customWidth="1"/>
    <col min="2313" max="2567" width="9.140625" style="1"/>
    <col min="2568" max="2568" width="12" style="1" customWidth="1"/>
    <col min="2569" max="2823" width="9.140625" style="1"/>
    <col min="2824" max="2824" width="12" style="1" customWidth="1"/>
    <col min="2825" max="3079" width="9.140625" style="1"/>
    <col min="3080" max="3080" width="12" style="1" customWidth="1"/>
    <col min="3081" max="3335" width="9.140625" style="1"/>
    <col min="3336" max="3336" width="12" style="1" customWidth="1"/>
    <col min="3337" max="3591" width="9.140625" style="1"/>
    <col min="3592" max="3592" width="12" style="1" customWidth="1"/>
    <col min="3593" max="3847" width="9.140625" style="1"/>
    <col min="3848" max="3848" width="12" style="1" customWidth="1"/>
    <col min="3849" max="4103" width="9.140625" style="1"/>
    <col min="4104" max="4104" width="12" style="1" customWidth="1"/>
    <col min="4105" max="4359" width="9.140625" style="1"/>
    <col min="4360" max="4360" width="12" style="1" customWidth="1"/>
    <col min="4361" max="4615" width="9.140625" style="1"/>
    <col min="4616" max="4616" width="12" style="1" customWidth="1"/>
    <col min="4617" max="4871" width="9.140625" style="1"/>
    <col min="4872" max="4872" width="12" style="1" customWidth="1"/>
    <col min="4873" max="5127" width="9.140625" style="1"/>
    <col min="5128" max="5128" width="12" style="1" customWidth="1"/>
    <col min="5129" max="5383" width="9.140625" style="1"/>
    <col min="5384" max="5384" width="12" style="1" customWidth="1"/>
    <col min="5385" max="5639" width="9.140625" style="1"/>
    <col min="5640" max="5640" width="12" style="1" customWidth="1"/>
    <col min="5641" max="5895" width="9.140625" style="1"/>
    <col min="5896" max="5896" width="12" style="1" customWidth="1"/>
    <col min="5897" max="6151" width="9.140625" style="1"/>
    <col min="6152" max="6152" width="12" style="1" customWidth="1"/>
    <col min="6153" max="6407" width="9.140625" style="1"/>
    <col min="6408" max="6408" width="12" style="1" customWidth="1"/>
    <col min="6409" max="6663" width="9.140625" style="1"/>
    <col min="6664" max="6664" width="12" style="1" customWidth="1"/>
    <col min="6665" max="6919" width="9.140625" style="1"/>
    <col min="6920" max="6920" width="12" style="1" customWidth="1"/>
    <col min="6921" max="7175" width="9.140625" style="1"/>
    <col min="7176" max="7176" width="12" style="1" customWidth="1"/>
    <col min="7177" max="7431" width="9.140625" style="1"/>
    <col min="7432" max="7432" width="12" style="1" customWidth="1"/>
    <col min="7433" max="7687" width="9.140625" style="1"/>
    <col min="7688" max="7688" width="12" style="1" customWidth="1"/>
    <col min="7689" max="7943" width="9.140625" style="1"/>
    <col min="7944" max="7944" width="12" style="1" customWidth="1"/>
    <col min="7945" max="8199" width="9.140625" style="1"/>
    <col min="8200" max="8200" width="12" style="1" customWidth="1"/>
    <col min="8201" max="8455" width="9.140625" style="1"/>
    <col min="8456" max="8456" width="12" style="1" customWidth="1"/>
    <col min="8457" max="8711" width="9.140625" style="1"/>
    <col min="8712" max="8712" width="12" style="1" customWidth="1"/>
    <col min="8713" max="8967" width="9.140625" style="1"/>
    <col min="8968" max="8968" width="12" style="1" customWidth="1"/>
    <col min="8969" max="9223" width="9.140625" style="1"/>
    <col min="9224" max="9224" width="12" style="1" customWidth="1"/>
    <col min="9225" max="9479" width="9.140625" style="1"/>
    <col min="9480" max="9480" width="12" style="1" customWidth="1"/>
    <col min="9481" max="9735" width="9.140625" style="1"/>
    <col min="9736" max="9736" width="12" style="1" customWidth="1"/>
    <col min="9737" max="9991" width="9.140625" style="1"/>
    <col min="9992" max="9992" width="12" style="1" customWidth="1"/>
    <col min="9993" max="10247" width="9.140625" style="1"/>
    <col min="10248" max="10248" width="12" style="1" customWidth="1"/>
    <col min="10249" max="10503" width="9.140625" style="1"/>
    <col min="10504" max="10504" width="12" style="1" customWidth="1"/>
    <col min="10505" max="10759" width="9.140625" style="1"/>
    <col min="10760" max="10760" width="12" style="1" customWidth="1"/>
    <col min="10761" max="11015" width="9.140625" style="1"/>
    <col min="11016" max="11016" width="12" style="1" customWidth="1"/>
    <col min="11017" max="11271" width="9.140625" style="1"/>
    <col min="11272" max="11272" width="12" style="1" customWidth="1"/>
    <col min="11273" max="11527" width="9.140625" style="1"/>
    <col min="11528" max="11528" width="12" style="1" customWidth="1"/>
    <col min="11529" max="11783" width="9.140625" style="1"/>
    <col min="11784" max="11784" width="12" style="1" customWidth="1"/>
    <col min="11785" max="12039" width="9.140625" style="1"/>
    <col min="12040" max="12040" width="12" style="1" customWidth="1"/>
    <col min="12041" max="12295" width="9.140625" style="1"/>
    <col min="12296" max="12296" width="12" style="1" customWidth="1"/>
    <col min="12297" max="12551" width="9.140625" style="1"/>
    <col min="12552" max="12552" width="12" style="1" customWidth="1"/>
    <col min="12553" max="12807" width="9.140625" style="1"/>
    <col min="12808" max="12808" width="12" style="1" customWidth="1"/>
    <col min="12809" max="13063" width="9.140625" style="1"/>
    <col min="13064" max="13064" width="12" style="1" customWidth="1"/>
    <col min="13065" max="13319" width="9.140625" style="1"/>
    <col min="13320" max="13320" width="12" style="1" customWidth="1"/>
    <col min="13321" max="13575" width="9.140625" style="1"/>
    <col min="13576" max="13576" width="12" style="1" customWidth="1"/>
    <col min="13577" max="13831" width="9.140625" style="1"/>
    <col min="13832" max="13832" width="12" style="1" customWidth="1"/>
    <col min="13833" max="14087" width="9.140625" style="1"/>
    <col min="14088" max="14088" width="12" style="1" customWidth="1"/>
    <col min="14089" max="14343" width="9.140625" style="1"/>
    <col min="14344" max="14344" width="12" style="1" customWidth="1"/>
    <col min="14345" max="14599" width="9.140625" style="1"/>
    <col min="14600" max="14600" width="12" style="1" customWidth="1"/>
    <col min="14601" max="14855" width="9.140625" style="1"/>
    <col min="14856" max="14856" width="12" style="1" customWidth="1"/>
    <col min="14857" max="15111" width="9.140625" style="1"/>
    <col min="15112" max="15112" width="12" style="1" customWidth="1"/>
    <col min="15113" max="15367" width="9.140625" style="1"/>
    <col min="15368" max="15368" width="12" style="1" customWidth="1"/>
    <col min="15369" max="15623" width="9.140625" style="1"/>
    <col min="15624" max="15624" width="12" style="1" customWidth="1"/>
    <col min="15625" max="15879" width="9.140625" style="1"/>
    <col min="15880" max="15880" width="12" style="1" customWidth="1"/>
    <col min="15881" max="16135" width="9.140625" style="1"/>
    <col min="16136" max="16136" width="12" style="1" customWidth="1"/>
    <col min="16137" max="16384" width="9.140625" style="1"/>
  </cols>
  <sheetData>
    <row r="1" spans="1:9" ht="12.75">
      <c r="A1" s="597" t="s">
        <v>60</v>
      </c>
      <c r="B1" s="597"/>
      <c r="C1" s="597"/>
      <c r="D1" s="597"/>
      <c r="E1" s="597"/>
      <c r="F1" s="597"/>
      <c r="G1" s="597"/>
      <c r="H1" s="597"/>
      <c r="I1" s="597"/>
    </row>
    <row r="2" spans="1:9" ht="12.75">
      <c r="A2" s="604"/>
      <c r="B2" s="605"/>
      <c r="C2" s="605"/>
      <c r="D2" s="605"/>
      <c r="E2" s="605"/>
      <c r="F2" s="605"/>
      <c r="G2" s="605"/>
      <c r="H2" s="605"/>
      <c r="I2" s="606"/>
    </row>
    <row r="3" spans="1:9" ht="12.75">
      <c r="A3" s="598" t="s">
        <v>373</v>
      </c>
      <c r="B3" s="598"/>
      <c r="C3" s="598"/>
      <c r="D3" s="598"/>
      <c r="E3" s="598"/>
      <c r="F3" s="598"/>
      <c r="G3" s="598"/>
      <c r="H3" s="598"/>
      <c r="I3" s="598"/>
    </row>
    <row r="4" spans="1:9" ht="12.75">
      <c r="A4" s="128"/>
      <c r="B4" s="128"/>
      <c r="C4" s="128"/>
      <c r="D4" s="128"/>
      <c r="E4" s="128"/>
      <c r="F4" s="128"/>
      <c r="G4" s="128"/>
      <c r="H4" s="128"/>
      <c r="I4" s="128"/>
    </row>
    <row r="5" spans="1:9" ht="44.25" customHeight="1">
      <c r="A5" s="599" t="s">
        <v>285</v>
      </c>
      <c r="B5" s="599"/>
      <c r="C5" s="599"/>
      <c r="D5" s="599" t="s">
        <v>321</v>
      </c>
      <c r="E5" s="599"/>
      <c r="F5" s="599" t="s">
        <v>286</v>
      </c>
      <c r="G5" s="599"/>
      <c r="H5" s="599" t="s">
        <v>322</v>
      </c>
      <c r="I5" s="599"/>
    </row>
    <row r="6" spans="1:9" ht="30.75" customHeight="1">
      <c r="A6" s="129" t="s">
        <v>287</v>
      </c>
      <c r="B6" s="624" t="s">
        <v>355</v>
      </c>
      <c r="C6" s="626"/>
      <c r="D6" s="585">
        <f>'SA. DIURNO DESARMADO 12X36'!G178</f>
        <v>9895.237000000001</v>
      </c>
      <c r="E6" s="586"/>
      <c r="F6" s="587">
        <f>'SA. DIURNO DESARMADO 12X36'!F16</f>
        <v>1</v>
      </c>
      <c r="G6" s="588"/>
      <c r="H6" s="585">
        <f>D6*F6</f>
        <v>9895.237000000001</v>
      </c>
      <c r="I6" s="586"/>
    </row>
    <row r="7" spans="1:9" ht="43.5" customHeight="1">
      <c r="A7" s="129" t="s">
        <v>288</v>
      </c>
      <c r="B7" s="624" t="s">
        <v>356</v>
      </c>
      <c r="C7" s="626"/>
      <c r="D7" s="585">
        <f>'SA. NOTURNO ARMADO 12x36'!G180</f>
        <v>12059.792000000001</v>
      </c>
      <c r="E7" s="586"/>
      <c r="F7" s="587">
        <f>'SA. NOTURNO ARMADO 12x36'!F16</f>
        <v>1</v>
      </c>
      <c r="G7" s="588"/>
      <c r="H7" s="585">
        <f>D7*F7</f>
        <v>12059.792000000001</v>
      </c>
      <c r="I7" s="586"/>
    </row>
    <row r="8" spans="1:9" ht="12.75">
      <c r="A8" s="601" t="s">
        <v>375</v>
      </c>
      <c r="B8" s="601"/>
      <c r="C8" s="601"/>
      <c r="D8" s="601"/>
      <c r="E8" s="601"/>
      <c r="F8" s="601"/>
      <c r="G8" s="601"/>
      <c r="H8" s="602">
        <f>SUM(H6:H7)</f>
        <v>21955.029000000002</v>
      </c>
      <c r="I8" s="602"/>
    </row>
    <row r="9" spans="1:9" ht="12.75">
      <c r="A9" s="130"/>
      <c r="B9" s="130"/>
      <c r="C9" s="130"/>
      <c r="D9" s="131"/>
      <c r="E9" s="131"/>
      <c r="F9" s="130"/>
      <c r="G9" s="130"/>
      <c r="H9" s="131"/>
      <c r="I9" s="132"/>
    </row>
    <row r="10" spans="1:9" ht="19.5" customHeight="1">
      <c r="A10" s="603" t="s">
        <v>374</v>
      </c>
      <c r="B10" s="603"/>
      <c r="C10" s="603"/>
      <c r="D10" s="603"/>
      <c r="E10" s="603"/>
      <c r="F10" s="603"/>
      <c r="G10" s="603"/>
      <c r="H10" s="603"/>
      <c r="I10" s="603"/>
    </row>
    <row r="11" spans="1:9" ht="19.5" customHeight="1">
      <c r="A11" s="601" t="s">
        <v>122</v>
      </c>
      <c r="B11" s="601"/>
      <c r="C11" s="601"/>
      <c r="D11" s="601"/>
      <c r="E11" s="601"/>
      <c r="F11" s="601"/>
      <c r="G11" s="601"/>
      <c r="H11" s="601"/>
      <c r="I11" s="133" t="s">
        <v>18</v>
      </c>
    </row>
    <row r="12" spans="1:9" ht="19.5" customHeight="1">
      <c r="A12" s="600" t="s">
        <v>8</v>
      </c>
      <c r="B12" s="584" t="s">
        <v>294</v>
      </c>
      <c r="C12" s="584"/>
      <c r="D12" s="584"/>
      <c r="E12" s="583" t="s">
        <v>295</v>
      </c>
      <c r="F12" s="583"/>
      <c r="G12" s="583"/>
      <c r="H12" s="583"/>
      <c r="I12" s="134">
        <f>H6</f>
        <v>9895.237000000001</v>
      </c>
    </row>
    <row r="13" spans="1:9" ht="19.5" customHeight="1">
      <c r="A13" s="600"/>
      <c r="B13" s="584"/>
      <c r="C13" s="584"/>
      <c r="D13" s="584"/>
      <c r="E13" s="583" t="s">
        <v>296</v>
      </c>
      <c r="F13" s="583"/>
      <c r="G13" s="583"/>
      <c r="H13" s="583"/>
      <c r="I13" s="134">
        <f>H7</f>
        <v>12059.792000000001</v>
      </c>
    </row>
    <row r="14" spans="1:9" ht="20.25" customHeight="1">
      <c r="A14" s="135" t="s">
        <v>10</v>
      </c>
      <c r="B14" s="595" t="s">
        <v>297</v>
      </c>
      <c r="C14" s="595"/>
      <c r="D14" s="595"/>
      <c r="E14" s="595"/>
      <c r="F14" s="595"/>
      <c r="G14" s="595"/>
      <c r="H14" s="595"/>
      <c r="I14" s="136">
        <f>SUM(I12:I13)</f>
        <v>21955.029000000002</v>
      </c>
    </row>
    <row r="15" spans="1:9" ht="20.25" customHeight="1">
      <c r="A15" s="135" t="s">
        <v>12</v>
      </c>
      <c r="B15" s="600" t="s">
        <v>298</v>
      </c>
      <c r="C15" s="600"/>
      <c r="D15" s="600"/>
      <c r="E15" s="600"/>
      <c r="F15" s="600"/>
      <c r="G15" s="600"/>
      <c r="H15" s="600"/>
      <c r="I15" s="137">
        <f>'SA. DIURNO DESARMADO 12X36'!G13</f>
        <v>30</v>
      </c>
    </row>
    <row r="16" spans="1:9" ht="27" customHeight="1">
      <c r="A16" s="607" t="s">
        <v>13</v>
      </c>
      <c r="B16" s="609" t="s">
        <v>370</v>
      </c>
      <c r="C16" s="610"/>
      <c r="D16" s="611"/>
      <c r="E16" s="621" t="s">
        <v>351</v>
      </c>
      <c r="F16" s="622"/>
      <c r="G16" s="622"/>
      <c r="H16" s="623"/>
      <c r="I16" s="358">
        <f>D6*I15</f>
        <v>296857.11000000004</v>
      </c>
    </row>
    <row r="17" spans="1:9" ht="30" customHeight="1">
      <c r="A17" s="608"/>
      <c r="B17" s="612"/>
      <c r="C17" s="613"/>
      <c r="D17" s="614"/>
      <c r="E17" s="621" t="s">
        <v>372</v>
      </c>
      <c r="F17" s="622"/>
      <c r="G17" s="622"/>
      <c r="H17" s="623"/>
      <c r="I17" s="358">
        <f>D7*I15</f>
        <v>361793.76</v>
      </c>
    </row>
    <row r="18" spans="1:9" ht="30.75" customHeight="1">
      <c r="A18" s="607" t="s">
        <v>22</v>
      </c>
      <c r="B18" s="615" t="s">
        <v>371</v>
      </c>
      <c r="C18" s="616"/>
      <c r="D18" s="617"/>
      <c r="E18" s="624" t="s">
        <v>351</v>
      </c>
      <c r="F18" s="625"/>
      <c r="G18" s="625"/>
      <c r="H18" s="626"/>
      <c r="I18" s="357">
        <f>I16*F6</f>
        <v>296857.11000000004</v>
      </c>
    </row>
    <row r="19" spans="1:9" ht="27" customHeight="1">
      <c r="A19" s="608"/>
      <c r="B19" s="618"/>
      <c r="C19" s="619"/>
      <c r="D19" s="620"/>
      <c r="E19" s="624" t="s">
        <v>372</v>
      </c>
      <c r="F19" s="625"/>
      <c r="G19" s="625"/>
      <c r="H19" s="626"/>
      <c r="I19" s="357">
        <f>I17*F7</f>
        <v>361793.76</v>
      </c>
    </row>
    <row r="20" spans="1:9" ht="22.5" customHeight="1">
      <c r="A20" s="135" t="s">
        <v>23</v>
      </c>
      <c r="B20" s="595" t="s">
        <v>299</v>
      </c>
      <c r="C20" s="595"/>
      <c r="D20" s="595"/>
      <c r="E20" s="595"/>
      <c r="F20" s="595"/>
      <c r="G20" s="595"/>
      <c r="H20" s="595"/>
      <c r="I20" s="138">
        <f>SUM(I18:I19)</f>
        <v>658650.87000000011</v>
      </c>
    </row>
    <row r="21" spans="1:9" ht="12.75">
      <c r="A21" s="139"/>
      <c r="B21" s="139"/>
      <c r="C21" s="139"/>
      <c r="D21" s="140"/>
      <c r="E21" s="140"/>
      <c r="F21" s="141"/>
      <c r="G21" s="141"/>
      <c r="H21" s="140"/>
      <c r="I21" s="140"/>
    </row>
    <row r="22" spans="1:9" ht="12.75">
      <c r="A22" s="596" t="s">
        <v>61</v>
      </c>
      <c r="B22" s="596"/>
      <c r="C22" s="596"/>
      <c r="D22" s="596"/>
      <c r="E22" s="596"/>
      <c r="F22" s="596"/>
      <c r="G22" s="596"/>
      <c r="H22" s="596"/>
      <c r="I22" s="596"/>
    </row>
    <row r="23" spans="1:9" ht="12.75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12.75">
      <c r="A24" s="592" t="s">
        <v>300</v>
      </c>
      <c r="B24" s="592"/>
      <c r="C24" s="592"/>
      <c r="D24" s="592"/>
      <c r="E24" s="592"/>
      <c r="F24" s="592"/>
      <c r="G24" s="592"/>
      <c r="H24" s="592"/>
      <c r="I24" s="592"/>
    </row>
    <row r="25" spans="1:9" ht="12.75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32.25" customHeight="1">
      <c r="A26" s="590" t="s">
        <v>62</v>
      </c>
      <c r="B26" s="590"/>
      <c r="C26" s="590"/>
      <c r="D26" s="590"/>
      <c r="E26" s="590"/>
      <c r="F26" s="590"/>
      <c r="G26" s="590"/>
      <c r="H26" s="590"/>
      <c r="I26" s="590"/>
    </row>
    <row r="27" spans="1:9" ht="12.7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7.25" customHeight="1">
      <c r="A28" s="591" t="s">
        <v>63</v>
      </c>
      <c r="B28" s="591"/>
      <c r="C28" s="591"/>
      <c r="D28" s="591"/>
      <c r="E28" s="591"/>
      <c r="F28" s="591"/>
      <c r="G28" s="591"/>
      <c r="H28" s="591"/>
      <c r="I28" s="591"/>
    </row>
    <row r="29" spans="1:9" ht="12.7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27.75" customHeight="1">
      <c r="A30" s="591" t="s">
        <v>64</v>
      </c>
      <c r="B30" s="591"/>
      <c r="C30" s="591"/>
      <c r="D30" s="591"/>
      <c r="E30" s="591"/>
      <c r="F30" s="591"/>
      <c r="G30" s="591"/>
      <c r="H30" s="591"/>
      <c r="I30" s="591"/>
    </row>
    <row r="31" spans="1:9" ht="12.7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6.5" customHeight="1">
      <c r="A32" s="592" t="s">
        <v>65</v>
      </c>
      <c r="B32" s="592"/>
      <c r="C32" s="592"/>
      <c r="D32" s="592"/>
      <c r="E32" s="592"/>
      <c r="F32" s="592"/>
      <c r="G32" s="592"/>
      <c r="H32" s="592"/>
      <c r="I32" s="592"/>
    </row>
    <row r="33" spans="1:9" ht="12.7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2.75">
      <c r="A34" s="142" t="s">
        <v>66</v>
      </c>
      <c r="B34" s="142"/>
      <c r="C34" s="142"/>
      <c r="D34" s="142"/>
      <c r="E34" s="142"/>
      <c r="F34" s="142"/>
      <c r="G34" s="142"/>
      <c r="H34" s="142"/>
      <c r="I34" s="142"/>
    </row>
    <row r="35" spans="1:9" ht="12.75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2.75">
      <c r="A36" s="593" t="s">
        <v>301</v>
      </c>
      <c r="B36" s="593"/>
      <c r="C36" s="594"/>
      <c r="D36" s="594"/>
      <c r="E36" s="594"/>
      <c r="F36" s="594"/>
      <c r="G36" s="594"/>
      <c r="H36" s="594"/>
      <c r="I36" s="594"/>
    </row>
    <row r="37" spans="1:9">
      <c r="A37" s="2"/>
      <c r="B37" s="2"/>
      <c r="C37" s="2"/>
      <c r="D37" s="2"/>
      <c r="E37" s="2"/>
      <c r="F37" s="2"/>
    </row>
    <row r="39" spans="1:9">
      <c r="A39" s="589" t="s">
        <v>67</v>
      </c>
      <c r="B39" s="589"/>
      <c r="C39" s="589"/>
      <c r="D39" s="589"/>
      <c r="E39" s="589"/>
      <c r="F39" s="589"/>
    </row>
    <row r="40" spans="1:9">
      <c r="A40" s="589"/>
      <c r="B40" s="589"/>
      <c r="C40" s="589"/>
      <c r="D40" s="589"/>
      <c r="E40" s="589"/>
      <c r="F40" s="589"/>
    </row>
    <row r="41" spans="1:9">
      <c r="A41" s="589"/>
      <c r="B41" s="589"/>
      <c r="C41" s="589"/>
      <c r="D41" s="589"/>
      <c r="E41" s="589"/>
      <c r="F41" s="589"/>
    </row>
    <row r="42" spans="1:9">
      <c r="A42" s="589"/>
      <c r="B42" s="589"/>
      <c r="C42" s="589"/>
      <c r="D42" s="589"/>
      <c r="E42" s="589"/>
      <c r="F42" s="589"/>
    </row>
    <row r="43" spans="1:9">
      <c r="A43" s="589"/>
      <c r="B43" s="589"/>
      <c r="C43" s="589"/>
      <c r="D43" s="589"/>
      <c r="E43" s="589"/>
      <c r="F43" s="589"/>
    </row>
    <row r="44" spans="1:9">
      <c r="A44" s="589"/>
      <c r="B44" s="589"/>
      <c r="C44" s="589"/>
      <c r="D44" s="589"/>
      <c r="E44" s="589"/>
      <c r="F44" s="589"/>
    </row>
  </sheetData>
  <mergeCells count="44">
    <mergeCell ref="B15:H15"/>
    <mergeCell ref="B6:C6"/>
    <mergeCell ref="B7:C7"/>
    <mergeCell ref="E12:H12"/>
    <mergeCell ref="A16:A17"/>
    <mergeCell ref="A18:A19"/>
    <mergeCell ref="B16:D17"/>
    <mergeCell ref="B18:D19"/>
    <mergeCell ref="E16:H16"/>
    <mergeCell ref="E17:H17"/>
    <mergeCell ref="E18:H18"/>
    <mergeCell ref="E19:H19"/>
    <mergeCell ref="A12:A13"/>
    <mergeCell ref="B14:H14"/>
    <mergeCell ref="H7:I7"/>
    <mergeCell ref="A8:G8"/>
    <mergeCell ref="H8:I8"/>
    <mergeCell ref="A10:I10"/>
    <mergeCell ref="A11:H11"/>
    <mergeCell ref="D7:E7"/>
    <mergeCell ref="F7:G7"/>
    <mergeCell ref="A1:I1"/>
    <mergeCell ref="A3:I3"/>
    <mergeCell ref="A5:C5"/>
    <mergeCell ref="D5:E5"/>
    <mergeCell ref="F5:G5"/>
    <mergeCell ref="H5:I5"/>
    <mergeCell ref="A2:I2"/>
    <mergeCell ref="E13:H13"/>
    <mergeCell ref="B12:D13"/>
    <mergeCell ref="D6:E6"/>
    <mergeCell ref="F6:G6"/>
    <mergeCell ref="A39:F44"/>
    <mergeCell ref="A26:I26"/>
    <mergeCell ref="A28:I28"/>
    <mergeCell ref="A30:I30"/>
    <mergeCell ref="A32:I32"/>
    <mergeCell ref="A36:B36"/>
    <mergeCell ref="C36:G36"/>
    <mergeCell ref="H36:I36"/>
    <mergeCell ref="B20:H20"/>
    <mergeCell ref="A22:I22"/>
    <mergeCell ref="A24:I24"/>
    <mergeCell ref="H6:I6"/>
  </mergeCells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Footer>&amp;C&amp;A&amp;R&amp;P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zoomScaleNormal="100" workbookViewId="0">
      <selection activeCell="A5" sqref="A5:J5"/>
    </sheetView>
  </sheetViews>
  <sheetFormatPr defaultRowHeight="15"/>
  <cols>
    <col min="2" max="2" width="44.5703125" customWidth="1"/>
    <col min="10" max="10" width="18.5703125" customWidth="1"/>
  </cols>
  <sheetData>
    <row r="1" spans="1:10" ht="15.75">
      <c r="A1" s="637" t="s">
        <v>220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0">
      <c r="A2" s="638" t="s">
        <v>357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0">
      <c r="A3" s="638" t="s">
        <v>358</v>
      </c>
      <c r="B3" s="638"/>
      <c r="C3" s="638"/>
      <c r="D3" s="638"/>
      <c r="E3" s="638"/>
      <c r="F3" s="638"/>
      <c r="G3" s="638"/>
      <c r="H3" s="638"/>
      <c r="I3" s="638"/>
      <c r="J3" s="638"/>
    </row>
    <row r="4" spans="1:10">
      <c r="A4" s="638" t="s">
        <v>359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0">
      <c r="A5" s="638" t="s">
        <v>360</v>
      </c>
      <c r="B5" s="638"/>
      <c r="C5" s="638"/>
      <c r="D5" s="638"/>
      <c r="E5" s="638"/>
      <c r="F5" s="638"/>
      <c r="G5" s="638"/>
      <c r="H5" s="638"/>
      <c r="I5" s="638"/>
      <c r="J5" s="638"/>
    </row>
    <row r="6" spans="1:10">
      <c r="A6" s="638" t="s">
        <v>221</v>
      </c>
      <c r="B6" s="638"/>
      <c r="C6" s="638"/>
      <c r="D6" s="638"/>
      <c r="E6" s="638"/>
      <c r="F6" s="638"/>
      <c r="G6" s="638"/>
      <c r="H6" s="638"/>
      <c r="I6" s="638"/>
      <c r="J6" s="638"/>
    </row>
    <row r="7" spans="1:10">
      <c r="A7" s="639" t="s">
        <v>361</v>
      </c>
      <c r="B7" s="640"/>
      <c r="C7" s="640"/>
      <c r="D7" s="640"/>
      <c r="E7" s="640"/>
      <c r="F7" s="640"/>
      <c r="G7" s="640"/>
      <c r="H7" s="640"/>
      <c r="I7" s="640"/>
      <c r="J7" s="641"/>
    </row>
    <row r="8" spans="1:10">
      <c r="A8" s="638" t="s">
        <v>362</v>
      </c>
      <c r="B8" s="638"/>
      <c r="C8" s="638"/>
      <c r="D8" s="638"/>
      <c r="E8" s="638"/>
      <c r="F8" s="638"/>
      <c r="G8" s="638"/>
      <c r="H8" s="638"/>
      <c r="I8" s="638"/>
      <c r="J8" s="638"/>
    </row>
    <row r="9" spans="1:10">
      <c r="A9" s="638" t="s">
        <v>363</v>
      </c>
      <c r="B9" s="638"/>
      <c r="C9" s="638"/>
      <c r="D9" s="638"/>
      <c r="E9" s="638"/>
      <c r="F9" s="638"/>
      <c r="G9" s="638"/>
      <c r="H9" s="638"/>
      <c r="I9" s="638"/>
      <c r="J9" s="638"/>
    </row>
    <row r="10" spans="1:10">
      <c r="A10" s="639" t="s">
        <v>364</v>
      </c>
      <c r="B10" s="640"/>
      <c r="C10" s="640"/>
      <c r="D10" s="640"/>
      <c r="E10" s="640"/>
      <c r="F10" s="640"/>
      <c r="G10" s="640"/>
      <c r="H10" s="640"/>
      <c r="I10" s="640"/>
      <c r="J10" s="641"/>
    </row>
    <row r="11" spans="1:10">
      <c r="A11" s="199"/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5" customHeight="1">
      <c r="A12" s="643" t="s">
        <v>272</v>
      </c>
      <c r="B12" s="643"/>
      <c r="C12" s="643"/>
      <c r="D12" s="643"/>
      <c r="E12" s="643"/>
      <c r="F12" s="643"/>
      <c r="G12" s="643"/>
      <c r="H12" s="643"/>
      <c r="I12" s="643"/>
      <c r="J12" s="643"/>
    </row>
    <row r="13" spans="1:10" ht="15" customHeight="1">
      <c r="A13" s="628">
        <v>1</v>
      </c>
      <c r="B13" s="644" t="s">
        <v>346</v>
      </c>
      <c r="C13" s="630" t="s">
        <v>347</v>
      </c>
      <c r="D13" s="630"/>
      <c r="E13" s="630"/>
      <c r="F13" s="630"/>
      <c r="G13" s="630"/>
      <c r="H13" s="630"/>
      <c r="I13" s="630"/>
      <c r="J13" s="630"/>
    </row>
    <row r="14" spans="1:10">
      <c r="A14" s="628"/>
      <c r="B14" s="644"/>
      <c r="C14" s="630"/>
      <c r="D14" s="630"/>
      <c r="E14" s="630"/>
      <c r="F14" s="630"/>
      <c r="G14" s="630"/>
      <c r="H14" s="630"/>
      <c r="I14" s="630"/>
      <c r="J14" s="630"/>
    </row>
    <row r="15" spans="1:10">
      <c r="A15" s="642"/>
      <c r="B15" s="642"/>
      <c r="C15" s="642"/>
      <c r="D15" s="642"/>
      <c r="E15" s="642"/>
      <c r="F15" s="642"/>
      <c r="G15" s="642"/>
      <c r="H15" s="642"/>
      <c r="I15" s="642"/>
      <c r="J15" s="642"/>
    </row>
    <row r="16" spans="1:10">
      <c r="A16" s="633" t="s">
        <v>282</v>
      </c>
      <c r="B16" s="633"/>
      <c r="C16" s="633"/>
      <c r="D16" s="633"/>
      <c r="E16" s="633"/>
      <c r="F16" s="633"/>
      <c r="G16" s="633"/>
      <c r="H16" s="633"/>
      <c r="I16" s="633"/>
      <c r="J16" s="633"/>
    </row>
    <row r="17" spans="1:10" ht="93" customHeight="1">
      <c r="A17" s="145">
        <v>1</v>
      </c>
      <c r="B17" s="145" t="s">
        <v>19</v>
      </c>
      <c r="C17" s="631" t="s">
        <v>279</v>
      </c>
      <c r="D17" s="631"/>
      <c r="E17" s="631"/>
      <c r="F17" s="631"/>
      <c r="G17" s="631"/>
      <c r="H17" s="631"/>
      <c r="I17" s="631"/>
      <c r="J17" s="631"/>
    </row>
    <row r="18" spans="1:10" ht="15" customHeight="1">
      <c r="A18" s="628">
        <v>2</v>
      </c>
      <c r="B18" s="627" t="s">
        <v>222</v>
      </c>
      <c r="C18" s="631" t="s">
        <v>275</v>
      </c>
      <c r="D18" s="631"/>
      <c r="E18" s="631"/>
      <c r="F18" s="631"/>
      <c r="G18" s="631"/>
      <c r="H18" s="631"/>
      <c r="I18" s="631"/>
      <c r="J18" s="631"/>
    </row>
    <row r="19" spans="1:10">
      <c r="A19" s="628"/>
      <c r="B19" s="627"/>
      <c r="C19" s="631"/>
      <c r="D19" s="631"/>
      <c r="E19" s="631"/>
      <c r="F19" s="631"/>
      <c r="G19" s="631"/>
      <c r="H19" s="631"/>
      <c r="I19" s="631"/>
      <c r="J19" s="631"/>
    </row>
    <row r="20" spans="1:10">
      <c r="A20" s="628"/>
      <c r="B20" s="627"/>
      <c r="C20" s="631"/>
      <c r="D20" s="631"/>
      <c r="E20" s="631"/>
      <c r="F20" s="631"/>
      <c r="G20" s="631"/>
      <c r="H20" s="631"/>
      <c r="I20" s="631"/>
      <c r="J20" s="631"/>
    </row>
    <row r="21" spans="1:10">
      <c r="A21" s="628"/>
      <c r="B21" s="627"/>
      <c r="C21" s="631"/>
      <c r="D21" s="631"/>
      <c r="E21" s="631"/>
      <c r="F21" s="631"/>
      <c r="G21" s="631"/>
      <c r="H21" s="631"/>
      <c r="I21" s="631"/>
      <c r="J21" s="631"/>
    </row>
    <row r="22" spans="1:10" ht="15" customHeight="1">
      <c r="A22" s="627">
        <v>3</v>
      </c>
      <c r="B22" s="628" t="s">
        <v>223</v>
      </c>
      <c r="C22" s="636" t="s">
        <v>277</v>
      </c>
      <c r="D22" s="636"/>
      <c r="E22" s="636"/>
      <c r="F22" s="636"/>
      <c r="G22" s="636"/>
      <c r="H22" s="636"/>
      <c r="I22" s="636"/>
      <c r="J22" s="636"/>
    </row>
    <row r="23" spans="1:10">
      <c r="A23" s="627"/>
      <c r="B23" s="628"/>
      <c r="C23" s="636"/>
      <c r="D23" s="636"/>
      <c r="E23" s="636"/>
      <c r="F23" s="636"/>
      <c r="G23" s="636"/>
      <c r="H23" s="636"/>
      <c r="I23" s="636"/>
      <c r="J23" s="636"/>
    </row>
    <row r="24" spans="1:10" ht="3" customHeight="1">
      <c r="A24" s="627"/>
      <c r="B24" s="628"/>
      <c r="C24" s="636"/>
      <c r="D24" s="636"/>
      <c r="E24" s="636"/>
      <c r="F24" s="636"/>
      <c r="G24" s="636"/>
      <c r="H24" s="636"/>
      <c r="I24" s="636"/>
      <c r="J24" s="636"/>
    </row>
    <row r="25" spans="1:10" ht="15" hidden="1" customHeight="1">
      <c r="A25" s="627"/>
      <c r="B25" s="628"/>
      <c r="C25" s="636"/>
      <c r="D25" s="636"/>
      <c r="E25" s="636"/>
      <c r="F25" s="636"/>
      <c r="G25" s="636"/>
      <c r="H25" s="636"/>
      <c r="I25" s="636"/>
      <c r="J25" s="636"/>
    </row>
    <row r="26" spans="1:10" ht="15" customHeight="1">
      <c r="A26" s="627">
        <v>4</v>
      </c>
      <c r="B26" s="628" t="s">
        <v>224</v>
      </c>
      <c r="C26" s="636" t="s">
        <v>280</v>
      </c>
      <c r="D26" s="636"/>
      <c r="E26" s="636"/>
      <c r="F26" s="636"/>
      <c r="G26" s="636"/>
      <c r="H26" s="636"/>
      <c r="I26" s="636"/>
      <c r="J26" s="636"/>
    </row>
    <row r="27" spans="1:10">
      <c r="A27" s="627"/>
      <c r="B27" s="628"/>
      <c r="C27" s="636"/>
      <c r="D27" s="636"/>
      <c r="E27" s="636"/>
      <c r="F27" s="636"/>
      <c r="G27" s="636"/>
      <c r="H27" s="636"/>
      <c r="I27" s="636"/>
      <c r="J27" s="636"/>
    </row>
    <row r="28" spans="1:10">
      <c r="A28" s="627"/>
      <c r="B28" s="628"/>
      <c r="C28" s="636"/>
      <c r="D28" s="636"/>
      <c r="E28" s="636"/>
      <c r="F28" s="636"/>
      <c r="G28" s="636"/>
      <c r="H28" s="636"/>
      <c r="I28" s="636"/>
      <c r="J28" s="636"/>
    </row>
    <row r="29" spans="1:10" ht="12.75" customHeight="1">
      <c r="A29" s="627"/>
      <c r="B29" s="628"/>
      <c r="C29" s="636"/>
      <c r="D29" s="636"/>
      <c r="E29" s="636"/>
      <c r="F29" s="636"/>
      <c r="G29" s="636"/>
      <c r="H29" s="636"/>
      <c r="I29" s="636"/>
      <c r="J29" s="636"/>
    </row>
    <row r="30" spans="1:10" ht="15" hidden="1" customHeight="1">
      <c r="A30" s="627"/>
      <c r="B30" s="628"/>
      <c r="C30" s="636"/>
      <c r="D30" s="636"/>
      <c r="E30" s="636"/>
      <c r="F30" s="636"/>
      <c r="G30" s="636"/>
      <c r="H30" s="636"/>
      <c r="I30" s="636"/>
      <c r="J30" s="636"/>
    </row>
    <row r="31" spans="1:10" ht="15" customHeight="1">
      <c r="A31" s="627">
        <v>5</v>
      </c>
      <c r="B31" s="628" t="s">
        <v>225</v>
      </c>
      <c r="C31" s="630" t="s">
        <v>348</v>
      </c>
      <c r="D31" s="630"/>
      <c r="E31" s="630"/>
      <c r="F31" s="630"/>
      <c r="G31" s="630"/>
      <c r="H31" s="630"/>
      <c r="I31" s="630"/>
      <c r="J31" s="630"/>
    </row>
    <row r="32" spans="1:10">
      <c r="A32" s="627"/>
      <c r="B32" s="628"/>
      <c r="C32" s="630"/>
      <c r="D32" s="630"/>
      <c r="E32" s="630"/>
      <c r="F32" s="630"/>
      <c r="G32" s="630"/>
      <c r="H32" s="630"/>
      <c r="I32" s="630"/>
      <c r="J32" s="630"/>
    </row>
    <row r="33" spans="1:10" ht="39.75" customHeight="1">
      <c r="A33" s="627"/>
      <c r="B33" s="628"/>
      <c r="C33" s="630"/>
      <c r="D33" s="630"/>
      <c r="E33" s="630"/>
      <c r="F33" s="630"/>
      <c r="G33" s="630"/>
      <c r="H33" s="630"/>
      <c r="I33" s="630"/>
      <c r="J33" s="630"/>
    </row>
    <row r="34" spans="1:10" ht="15" customHeight="1">
      <c r="A34" s="627">
        <v>6</v>
      </c>
      <c r="B34" s="628" t="s">
        <v>226</v>
      </c>
      <c r="C34" s="630" t="s">
        <v>349</v>
      </c>
      <c r="D34" s="630"/>
      <c r="E34" s="630"/>
      <c r="F34" s="630"/>
      <c r="G34" s="630"/>
      <c r="H34" s="630"/>
      <c r="I34" s="630"/>
      <c r="J34" s="630"/>
    </row>
    <row r="35" spans="1:10">
      <c r="A35" s="627"/>
      <c r="B35" s="628"/>
      <c r="C35" s="630"/>
      <c r="D35" s="630"/>
      <c r="E35" s="630"/>
      <c r="F35" s="630"/>
      <c r="G35" s="630"/>
      <c r="H35" s="630"/>
      <c r="I35" s="630"/>
      <c r="J35" s="630"/>
    </row>
    <row r="36" spans="1:10">
      <c r="A36" s="627"/>
      <c r="B36" s="628"/>
      <c r="C36" s="630"/>
      <c r="D36" s="630"/>
      <c r="E36" s="630"/>
      <c r="F36" s="630"/>
      <c r="G36" s="630"/>
      <c r="H36" s="630"/>
      <c r="I36" s="630"/>
      <c r="J36" s="630"/>
    </row>
    <row r="37" spans="1:10" ht="64.5" customHeight="1">
      <c r="A37" s="627"/>
      <c r="B37" s="628"/>
      <c r="C37" s="630"/>
      <c r="D37" s="630"/>
      <c r="E37" s="630"/>
      <c r="F37" s="630"/>
      <c r="G37" s="630"/>
      <c r="H37" s="630"/>
      <c r="I37" s="630"/>
      <c r="J37" s="630"/>
    </row>
    <row r="38" spans="1:10" ht="15" customHeight="1">
      <c r="A38" s="627">
        <v>7</v>
      </c>
      <c r="B38" s="628" t="s">
        <v>21</v>
      </c>
      <c r="C38" s="630" t="s">
        <v>273</v>
      </c>
      <c r="D38" s="630"/>
      <c r="E38" s="630"/>
      <c r="F38" s="630"/>
      <c r="G38" s="630"/>
      <c r="H38" s="630"/>
      <c r="I38" s="630"/>
      <c r="J38" s="630"/>
    </row>
    <row r="39" spans="1:10">
      <c r="A39" s="627"/>
      <c r="B39" s="628"/>
      <c r="C39" s="630"/>
      <c r="D39" s="630"/>
      <c r="E39" s="630"/>
      <c r="F39" s="630"/>
      <c r="G39" s="630"/>
      <c r="H39" s="630"/>
      <c r="I39" s="630"/>
      <c r="J39" s="630"/>
    </row>
    <row r="40" spans="1:10">
      <c r="A40" s="627"/>
      <c r="B40" s="628"/>
      <c r="C40" s="630"/>
      <c r="D40" s="630"/>
      <c r="E40" s="630"/>
      <c r="F40" s="630"/>
      <c r="G40" s="630"/>
      <c r="H40" s="630"/>
      <c r="I40" s="630"/>
      <c r="J40" s="630"/>
    </row>
    <row r="41" spans="1:10">
      <c r="A41" s="627"/>
      <c r="B41" s="628"/>
      <c r="C41" s="630"/>
      <c r="D41" s="630"/>
      <c r="E41" s="630"/>
      <c r="F41" s="630"/>
      <c r="G41" s="630"/>
      <c r="H41" s="630"/>
      <c r="I41" s="630"/>
      <c r="J41" s="630"/>
    </row>
    <row r="42" spans="1:10">
      <c r="A42" s="627"/>
      <c r="B42" s="628"/>
      <c r="C42" s="630"/>
      <c r="D42" s="630"/>
      <c r="E42" s="630"/>
      <c r="F42" s="630"/>
      <c r="G42" s="630"/>
      <c r="H42" s="630"/>
      <c r="I42" s="630"/>
      <c r="J42" s="630"/>
    </row>
    <row r="43" spans="1:10" ht="25.5" customHeight="1">
      <c r="A43" s="627"/>
      <c r="B43" s="628"/>
      <c r="C43" s="630"/>
      <c r="D43" s="630"/>
      <c r="E43" s="630"/>
      <c r="F43" s="630"/>
      <c r="G43" s="630"/>
      <c r="H43" s="630"/>
      <c r="I43" s="630"/>
      <c r="J43" s="630"/>
    </row>
    <row r="44" spans="1:10" ht="15" customHeight="1">
      <c r="A44" s="628">
        <v>8</v>
      </c>
      <c r="B44" s="628" t="s">
        <v>248</v>
      </c>
      <c r="C44" s="631" t="s">
        <v>274</v>
      </c>
      <c r="D44" s="631"/>
      <c r="E44" s="631"/>
      <c r="F44" s="631"/>
      <c r="G44" s="631"/>
      <c r="H44" s="631"/>
      <c r="I44" s="631"/>
      <c r="J44" s="631"/>
    </row>
    <row r="45" spans="1:10">
      <c r="A45" s="628"/>
      <c r="B45" s="628"/>
      <c r="C45" s="631"/>
      <c r="D45" s="631"/>
      <c r="E45" s="631"/>
      <c r="F45" s="631"/>
      <c r="G45" s="631"/>
      <c r="H45" s="631"/>
      <c r="I45" s="631"/>
      <c r="J45" s="631"/>
    </row>
    <row r="46" spans="1:10">
      <c r="A46" s="628"/>
      <c r="B46" s="628"/>
      <c r="C46" s="631"/>
      <c r="D46" s="631"/>
      <c r="E46" s="631"/>
      <c r="F46" s="631"/>
      <c r="G46" s="631"/>
      <c r="H46" s="631"/>
      <c r="I46" s="631"/>
      <c r="J46" s="631"/>
    </row>
    <row r="47" spans="1:10">
      <c r="A47" s="628"/>
      <c r="B47" s="628"/>
      <c r="C47" s="631"/>
      <c r="D47" s="631"/>
      <c r="E47" s="631"/>
      <c r="F47" s="631"/>
      <c r="G47" s="631"/>
      <c r="H47" s="631"/>
      <c r="I47" s="631"/>
      <c r="J47" s="631"/>
    </row>
    <row r="48" spans="1:10" ht="14.25" customHeight="1">
      <c r="A48" s="628"/>
      <c r="B48" s="628"/>
      <c r="C48" s="631"/>
      <c r="D48" s="631"/>
      <c r="E48" s="631"/>
      <c r="F48" s="631"/>
      <c r="G48" s="631"/>
      <c r="H48" s="631"/>
      <c r="I48" s="631"/>
      <c r="J48" s="631"/>
    </row>
    <row r="49" spans="1:10" ht="3.75" customHeight="1">
      <c r="A49" s="628"/>
      <c r="B49" s="628"/>
      <c r="C49" s="631"/>
      <c r="D49" s="631"/>
      <c r="E49" s="631"/>
      <c r="F49" s="631"/>
      <c r="G49" s="631"/>
      <c r="H49" s="631"/>
      <c r="I49" s="631"/>
      <c r="J49" s="631"/>
    </row>
    <row r="50" spans="1:10" ht="7.5" hidden="1" customHeight="1">
      <c r="A50" s="628"/>
      <c r="B50" s="628"/>
      <c r="C50" s="631"/>
      <c r="D50" s="631"/>
      <c r="E50" s="631"/>
      <c r="F50" s="631"/>
      <c r="G50" s="631"/>
      <c r="H50" s="631"/>
      <c r="I50" s="631"/>
      <c r="J50" s="631"/>
    </row>
    <row r="51" spans="1:10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>
      <c r="A52" s="633" t="s">
        <v>281</v>
      </c>
      <c r="B52" s="633"/>
      <c r="C52" s="633"/>
      <c r="D52" s="633"/>
      <c r="E52" s="633"/>
      <c r="F52" s="633"/>
      <c r="G52" s="633"/>
      <c r="H52" s="633"/>
      <c r="I52" s="633"/>
      <c r="J52" s="633"/>
    </row>
    <row r="53" spans="1:10" ht="15" customHeight="1">
      <c r="A53" s="627">
        <v>1</v>
      </c>
      <c r="B53" s="628" t="s">
        <v>350</v>
      </c>
      <c r="C53" s="630" t="s">
        <v>284</v>
      </c>
      <c r="D53" s="630"/>
      <c r="E53" s="630"/>
      <c r="F53" s="630"/>
      <c r="G53" s="630"/>
      <c r="H53" s="630"/>
      <c r="I53" s="630"/>
      <c r="J53" s="630"/>
    </row>
    <row r="54" spans="1:10">
      <c r="A54" s="627"/>
      <c r="B54" s="628"/>
      <c r="C54" s="630"/>
      <c r="D54" s="630"/>
      <c r="E54" s="630"/>
      <c r="F54" s="630"/>
      <c r="G54" s="630"/>
      <c r="H54" s="630"/>
      <c r="I54" s="630"/>
      <c r="J54" s="630"/>
    </row>
    <row r="55" spans="1:10">
      <c r="A55" s="627"/>
      <c r="B55" s="628"/>
      <c r="C55" s="630"/>
      <c r="D55" s="630"/>
      <c r="E55" s="630"/>
      <c r="F55" s="630"/>
      <c r="G55" s="630"/>
      <c r="H55" s="630"/>
      <c r="I55" s="630"/>
      <c r="J55" s="630"/>
    </row>
    <row r="56" spans="1:10" ht="15" customHeight="1">
      <c r="A56" s="628">
        <v>3</v>
      </c>
      <c r="B56" s="628" t="s">
        <v>227</v>
      </c>
      <c r="C56" s="630" t="s">
        <v>283</v>
      </c>
      <c r="D56" s="630"/>
      <c r="E56" s="630"/>
      <c r="F56" s="630"/>
      <c r="G56" s="630"/>
      <c r="H56" s="630"/>
      <c r="I56" s="630"/>
      <c r="J56" s="630"/>
    </row>
    <row r="57" spans="1:10">
      <c r="A57" s="628"/>
      <c r="B57" s="628"/>
      <c r="C57" s="630"/>
      <c r="D57" s="630"/>
      <c r="E57" s="630"/>
      <c r="F57" s="630"/>
      <c r="G57" s="630"/>
      <c r="H57" s="630"/>
      <c r="I57" s="630"/>
      <c r="J57" s="630"/>
    </row>
    <row r="58" spans="1:10">
      <c r="A58" s="628"/>
      <c r="B58" s="628"/>
      <c r="C58" s="630"/>
      <c r="D58" s="630"/>
      <c r="E58" s="630"/>
      <c r="F58" s="630"/>
      <c r="G58" s="630"/>
      <c r="H58" s="630"/>
      <c r="I58" s="630"/>
      <c r="J58" s="630"/>
    </row>
    <row r="59" spans="1:10" ht="39.75" customHeight="1">
      <c r="A59" s="628">
        <v>4</v>
      </c>
      <c r="B59" s="628" t="s">
        <v>228</v>
      </c>
      <c r="C59" s="630" t="s">
        <v>328</v>
      </c>
      <c r="D59" s="630"/>
      <c r="E59" s="630"/>
      <c r="F59" s="630"/>
      <c r="G59" s="630"/>
      <c r="H59" s="630"/>
      <c r="I59" s="630"/>
      <c r="J59" s="630"/>
    </row>
    <row r="60" spans="1:10" ht="15" customHeight="1">
      <c r="A60" s="628"/>
      <c r="B60" s="628"/>
      <c r="C60" s="630"/>
      <c r="D60" s="630"/>
      <c r="E60" s="630"/>
      <c r="F60" s="630"/>
      <c r="G60" s="630"/>
      <c r="H60" s="630"/>
      <c r="I60" s="630"/>
      <c r="J60" s="630"/>
    </row>
    <row r="61" spans="1:10" ht="13.5" customHeight="1">
      <c r="A61" s="628"/>
      <c r="B61" s="628"/>
      <c r="C61" s="630"/>
      <c r="D61" s="630"/>
      <c r="E61" s="630"/>
      <c r="F61" s="630"/>
      <c r="G61" s="630"/>
      <c r="H61" s="630"/>
      <c r="I61" s="630"/>
      <c r="J61" s="630"/>
    </row>
    <row r="62" spans="1:10" hidden="1">
      <c r="A62" s="628"/>
      <c r="B62" s="628"/>
      <c r="C62" s="630"/>
      <c r="D62" s="630"/>
      <c r="E62" s="630"/>
      <c r="F62" s="630"/>
      <c r="G62" s="630"/>
      <c r="H62" s="630"/>
      <c r="I62" s="630"/>
      <c r="J62" s="630"/>
    </row>
    <row r="63" spans="1:10" ht="15" hidden="1" customHeight="1">
      <c r="A63" s="628"/>
      <c r="B63" s="628"/>
      <c r="C63" s="630"/>
      <c r="D63" s="630"/>
      <c r="E63" s="630"/>
      <c r="F63" s="630"/>
      <c r="G63" s="630"/>
      <c r="H63" s="630"/>
      <c r="I63" s="630"/>
      <c r="J63" s="630"/>
    </row>
    <row r="64" spans="1:10" ht="15" customHeight="1">
      <c r="A64" s="628">
        <v>5</v>
      </c>
      <c r="B64" s="628" t="s">
        <v>229</v>
      </c>
      <c r="C64" s="631" t="s">
        <v>323</v>
      </c>
      <c r="D64" s="631"/>
      <c r="E64" s="631"/>
      <c r="F64" s="631"/>
      <c r="G64" s="631"/>
      <c r="H64" s="631"/>
      <c r="I64" s="631"/>
      <c r="J64" s="631"/>
    </row>
    <row r="65" spans="1:10">
      <c r="A65" s="628"/>
      <c r="B65" s="628"/>
      <c r="C65" s="631"/>
      <c r="D65" s="631"/>
      <c r="E65" s="631"/>
      <c r="F65" s="631"/>
      <c r="G65" s="631"/>
      <c r="H65" s="631"/>
      <c r="I65" s="631"/>
      <c r="J65" s="631"/>
    </row>
    <row r="66" spans="1:10" ht="3.75" customHeight="1">
      <c r="A66" s="628"/>
      <c r="B66" s="628"/>
      <c r="C66" s="631"/>
      <c r="D66" s="631"/>
      <c r="E66" s="631"/>
      <c r="F66" s="631"/>
      <c r="G66" s="631"/>
      <c r="H66" s="631"/>
      <c r="I66" s="631"/>
      <c r="J66" s="631"/>
    </row>
    <row r="67" spans="1:10" ht="3" customHeight="1">
      <c r="A67" s="628"/>
      <c r="B67" s="628"/>
      <c r="C67" s="631"/>
      <c r="D67" s="631"/>
      <c r="E67" s="631"/>
      <c r="F67" s="631"/>
      <c r="G67" s="631"/>
      <c r="H67" s="631"/>
      <c r="I67" s="631"/>
      <c r="J67" s="631"/>
    </row>
    <row r="68" spans="1:10" ht="15" customHeight="1">
      <c r="A68" s="628"/>
      <c r="B68" s="628"/>
      <c r="C68" s="631"/>
      <c r="D68" s="631"/>
      <c r="E68" s="631"/>
      <c r="F68" s="631"/>
      <c r="G68" s="631"/>
      <c r="H68" s="631"/>
      <c r="I68" s="631"/>
      <c r="J68" s="631"/>
    </row>
    <row r="69" spans="1:10">
      <c r="A69" s="628"/>
      <c r="B69" s="628"/>
      <c r="C69" s="631"/>
      <c r="D69" s="631"/>
      <c r="E69" s="631"/>
      <c r="F69" s="631"/>
      <c r="G69" s="631"/>
      <c r="H69" s="631"/>
      <c r="I69" s="631"/>
      <c r="J69" s="631"/>
    </row>
    <row r="70" spans="1:10">
      <c r="A70" s="632"/>
      <c r="B70" s="632"/>
      <c r="C70" s="632"/>
      <c r="D70" s="632"/>
      <c r="E70" s="632"/>
      <c r="F70" s="632"/>
      <c r="G70" s="632"/>
      <c r="H70" s="632"/>
      <c r="I70" s="632"/>
      <c r="J70" s="632"/>
    </row>
    <row r="71" spans="1:10" ht="20.25" customHeight="1">
      <c r="A71" s="634" t="s">
        <v>230</v>
      </c>
      <c r="B71" s="634"/>
      <c r="C71" s="634"/>
      <c r="D71" s="634"/>
      <c r="E71" s="634"/>
      <c r="F71" s="634"/>
      <c r="G71" s="634"/>
      <c r="H71" s="634"/>
      <c r="I71" s="634"/>
      <c r="J71" s="634"/>
    </row>
    <row r="72" spans="1:10" ht="15" hidden="1" customHeight="1">
      <c r="A72" s="628">
        <v>1</v>
      </c>
      <c r="B72" s="628" t="s">
        <v>231</v>
      </c>
      <c r="C72" s="635" t="s">
        <v>365</v>
      </c>
      <c r="D72" s="635"/>
      <c r="E72" s="635"/>
      <c r="F72" s="635"/>
      <c r="G72" s="635"/>
      <c r="H72" s="635"/>
      <c r="I72" s="635"/>
      <c r="J72" s="635"/>
    </row>
    <row r="73" spans="1:10" ht="15" hidden="1" customHeight="1">
      <c r="A73" s="628"/>
      <c r="B73" s="628"/>
      <c r="C73" s="635"/>
      <c r="D73" s="635"/>
      <c r="E73" s="635"/>
      <c r="F73" s="635"/>
      <c r="G73" s="635"/>
      <c r="H73" s="635"/>
      <c r="I73" s="635"/>
      <c r="J73" s="635"/>
    </row>
    <row r="74" spans="1:10" ht="51.75" customHeight="1">
      <c r="A74" s="628"/>
      <c r="B74" s="628"/>
      <c r="C74" s="635"/>
      <c r="D74" s="635"/>
      <c r="E74" s="635"/>
      <c r="F74" s="635"/>
      <c r="G74" s="635"/>
      <c r="H74" s="635"/>
      <c r="I74" s="635"/>
      <c r="J74" s="635"/>
    </row>
    <row r="75" spans="1:10" ht="30.75" customHeight="1">
      <c r="A75" s="144">
        <v>2</v>
      </c>
      <c r="B75" s="144" t="s">
        <v>232</v>
      </c>
      <c r="C75" s="631" t="s">
        <v>329</v>
      </c>
      <c r="D75" s="631"/>
      <c r="E75" s="631"/>
      <c r="F75" s="631"/>
      <c r="G75" s="631"/>
      <c r="H75" s="631"/>
      <c r="I75" s="631"/>
      <c r="J75" s="631"/>
    </row>
    <row r="76" spans="1:10" ht="15" customHeight="1">
      <c r="A76" s="628">
        <v>3</v>
      </c>
      <c r="B76" s="628" t="s">
        <v>31</v>
      </c>
      <c r="C76" s="630" t="s">
        <v>330</v>
      </c>
      <c r="D76" s="630"/>
      <c r="E76" s="630"/>
      <c r="F76" s="630"/>
      <c r="G76" s="630"/>
      <c r="H76" s="630"/>
      <c r="I76" s="630"/>
      <c r="J76" s="630"/>
    </row>
    <row r="77" spans="1:10">
      <c r="A77" s="628"/>
      <c r="B77" s="628"/>
      <c r="C77" s="630"/>
      <c r="D77" s="630"/>
      <c r="E77" s="630"/>
      <c r="F77" s="630"/>
      <c r="G77" s="630"/>
      <c r="H77" s="630"/>
      <c r="I77" s="630"/>
      <c r="J77" s="630"/>
    </row>
    <row r="78" spans="1:10">
      <c r="A78" s="628"/>
      <c r="B78" s="628"/>
      <c r="C78" s="630"/>
      <c r="D78" s="630"/>
      <c r="E78" s="630"/>
      <c r="F78" s="630"/>
      <c r="G78" s="630"/>
      <c r="H78" s="630"/>
      <c r="I78" s="630"/>
      <c r="J78" s="630"/>
    </row>
    <row r="79" spans="1:10" ht="32.25" customHeight="1">
      <c r="A79" s="628"/>
      <c r="B79" s="628"/>
      <c r="C79" s="630"/>
      <c r="D79" s="630"/>
      <c r="E79" s="630"/>
      <c r="F79" s="630"/>
      <c r="G79" s="630"/>
      <c r="H79" s="630"/>
      <c r="I79" s="630"/>
      <c r="J79" s="630"/>
    </row>
    <row r="80" spans="1:10" ht="36" customHeight="1">
      <c r="A80" s="144">
        <v>4</v>
      </c>
      <c r="B80" s="144" t="s">
        <v>233</v>
      </c>
      <c r="C80" s="631" t="s">
        <v>331</v>
      </c>
      <c r="D80" s="631"/>
      <c r="E80" s="631"/>
      <c r="F80" s="631"/>
      <c r="G80" s="631"/>
      <c r="H80" s="631"/>
      <c r="I80" s="631"/>
      <c r="J80" s="631"/>
    </row>
    <row r="81" spans="1:10" ht="15" customHeight="1">
      <c r="A81" s="628">
        <v>5</v>
      </c>
      <c r="B81" s="628" t="s">
        <v>33</v>
      </c>
      <c r="C81" s="630" t="s">
        <v>332</v>
      </c>
      <c r="D81" s="630"/>
      <c r="E81" s="630"/>
      <c r="F81" s="630"/>
      <c r="G81" s="630"/>
      <c r="H81" s="630"/>
      <c r="I81" s="630"/>
      <c r="J81" s="630"/>
    </row>
    <row r="82" spans="1:10">
      <c r="A82" s="628"/>
      <c r="B82" s="628"/>
      <c r="C82" s="630"/>
      <c r="D82" s="630"/>
      <c r="E82" s="630"/>
      <c r="F82" s="630"/>
      <c r="G82" s="630"/>
      <c r="H82" s="630"/>
      <c r="I82" s="630"/>
      <c r="J82" s="630"/>
    </row>
    <row r="83" spans="1:10">
      <c r="A83" s="628"/>
      <c r="B83" s="628"/>
      <c r="C83" s="630"/>
      <c r="D83" s="630"/>
      <c r="E83" s="630"/>
      <c r="F83" s="630"/>
      <c r="G83" s="630"/>
      <c r="H83" s="630"/>
      <c r="I83" s="630"/>
      <c r="J83" s="630"/>
    </row>
    <row r="84" spans="1:10">
      <c r="A84" s="628"/>
      <c r="B84" s="628"/>
      <c r="C84" s="630"/>
      <c r="D84" s="630"/>
      <c r="E84" s="630"/>
      <c r="F84" s="630"/>
      <c r="G84" s="630"/>
      <c r="H84" s="630"/>
      <c r="I84" s="630"/>
      <c r="J84" s="630"/>
    </row>
    <row r="85" spans="1:10" ht="15" customHeight="1">
      <c r="A85" s="627">
        <v>6</v>
      </c>
      <c r="B85" s="628" t="s">
        <v>234</v>
      </c>
      <c r="C85" s="630" t="s">
        <v>333</v>
      </c>
      <c r="D85" s="630"/>
      <c r="E85" s="630"/>
      <c r="F85" s="630"/>
      <c r="G85" s="630"/>
      <c r="H85" s="630"/>
      <c r="I85" s="630"/>
      <c r="J85" s="630"/>
    </row>
    <row r="86" spans="1:10">
      <c r="A86" s="627"/>
      <c r="B86" s="628"/>
      <c r="C86" s="630"/>
      <c r="D86" s="630"/>
      <c r="E86" s="630"/>
      <c r="F86" s="630"/>
      <c r="G86" s="630"/>
      <c r="H86" s="630"/>
      <c r="I86" s="630"/>
      <c r="J86" s="630"/>
    </row>
    <row r="87" spans="1:10" ht="33" customHeight="1">
      <c r="A87" s="144">
        <v>8</v>
      </c>
      <c r="B87" s="144" t="s">
        <v>235</v>
      </c>
      <c r="C87" s="631" t="s">
        <v>236</v>
      </c>
      <c r="D87" s="631"/>
      <c r="E87" s="631"/>
      <c r="F87" s="631"/>
      <c r="G87" s="631"/>
      <c r="H87" s="631"/>
      <c r="I87" s="631"/>
      <c r="J87" s="631"/>
    </row>
    <row r="88" spans="1:10" ht="31.5" customHeight="1">
      <c r="A88" s="144">
        <v>9</v>
      </c>
      <c r="B88" s="144" t="s">
        <v>237</v>
      </c>
      <c r="C88" s="631" t="s">
        <v>238</v>
      </c>
      <c r="D88" s="631"/>
      <c r="E88" s="631"/>
      <c r="F88" s="631"/>
      <c r="G88" s="631"/>
      <c r="H88" s="631"/>
      <c r="I88" s="631"/>
      <c r="J88" s="631"/>
    </row>
    <row r="89" spans="1:10" ht="15" customHeight="1">
      <c r="A89" s="628">
        <v>10</v>
      </c>
      <c r="B89" s="628" t="s">
        <v>239</v>
      </c>
      <c r="C89" s="631" t="s">
        <v>325</v>
      </c>
      <c r="D89" s="631"/>
      <c r="E89" s="631"/>
      <c r="F89" s="631"/>
      <c r="G89" s="631"/>
      <c r="H89" s="631"/>
      <c r="I89" s="631"/>
      <c r="J89" s="631"/>
    </row>
    <row r="90" spans="1:10">
      <c r="A90" s="628"/>
      <c r="B90" s="628"/>
      <c r="C90" s="631"/>
      <c r="D90" s="631"/>
      <c r="E90" s="631"/>
      <c r="F90" s="631"/>
      <c r="G90" s="631"/>
      <c r="H90" s="631"/>
      <c r="I90" s="631"/>
      <c r="J90" s="631"/>
    </row>
    <row r="91" spans="1:10" ht="32.25" customHeight="1">
      <c r="A91" s="628">
        <v>11</v>
      </c>
      <c r="B91" s="628" t="s">
        <v>240</v>
      </c>
      <c r="C91" s="630" t="s">
        <v>241</v>
      </c>
      <c r="D91" s="630"/>
      <c r="E91" s="630"/>
      <c r="F91" s="630"/>
      <c r="G91" s="630"/>
      <c r="H91" s="630"/>
      <c r="I91" s="630"/>
      <c r="J91" s="630"/>
    </row>
    <row r="92" spans="1:10">
      <c r="A92" s="628"/>
      <c r="B92" s="628"/>
      <c r="C92" s="630"/>
      <c r="D92" s="630"/>
      <c r="E92" s="630"/>
      <c r="F92" s="630"/>
      <c r="G92" s="630"/>
      <c r="H92" s="630"/>
      <c r="I92" s="630"/>
      <c r="J92" s="630"/>
    </row>
    <row r="93" spans="1:10" ht="15" customHeight="1">
      <c r="A93" s="632"/>
      <c r="B93" s="632"/>
      <c r="C93" s="632"/>
      <c r="D93" s="632"/>
      <c r="E93" s="632"/>
      <c r="F93" s="632"/>
      <c r="G93" s="632"/>
      <c r="H93" s="632"/>
      <c r="I93" s="632"/>
      <c r="J93" s="632"/>
    </row>
    <row r="94" spans="1:10">
      <c r="A94" s="633" t="s">
        <v>242</v>
      </c>
      <c r="B94" s="633"/>
      <c r="C94" s="633"/>
      <c r="D94" s="633"/>
      <c r="E94" s="633"/>
      <c r="F94" s="633"/>
      <c r="G94" s="633"/>
      <c r="H94" s="633"/>
      <c r="I94" s="633"/>
      <c r="J94" s="633"/>
    </row>
    <row r="95" spans="1:10" ht="15" customHeight="1">
      <c r="A95" s="627">
        <v>1</v>
      </c>
      <c r="B95" s="628" t="s">
        <v>243</v>
      </c>
      <c r="C95" s="630" t="s">
        <v>334</v>
      </c>
      <c r="D95" s="630"/>
      <c r="E95" s="630"/>
      <c r="F95" s="630"/>
      <c r="G95" s="630"/>
      <c r="H95" s="630"/>
      <c r="I95" s="630"/>
      <c r="J95" s="630"/>
    </row>
    <row r="96" spans="1:10">
      <c r="A96" s="627"/>
      <c r="B96" s="628"/>
      <c r="C96" s="630"/>
      <c r="D96" s="630"/>
      <c r="E96" s="630"/>
      <c r="F96" s="630"/>
      <c r="G96" s="630"/>
      <c r="H96" s="630"/>
      <c r="I96" s="630"/>
      <c r="J96" s="630"/>
    </row>
    <row r="97" spans="1:10" ht="15" customHeight="1">
      <c r="A97" s="627">
        <v>2</v>
      </c>
      <c r="B97" s="628" t="s">
        <v>244</v>
      </c>
      <c r="C97" s="629" t="s">
        <v>366</v>
      </c>
      <c r="D97" s="629"/>
      <c r="E97" s="629"/>
      <c r="F97" s="629"/>
      <c r="G97" s="629"/>
      <c r="H97" s="629"/>
      <c r="I97" s="629"/>
      <c r="J97" s="629"/>
    </row>
    <row r="98" spans="1:10">
      <c r="A98" s="627"/>
      <c r="B98" s="628"/>
      <c r="C98" s="629"/>
      <c r="D98" s="629"/>
      <c r="E98" s="629"/>
      <c r="F98" s="629"/>
      <c r="G98" s="629"/>
      <c r="H98" s="629"/>
      <c r="I98" s="629"/>
      <c r="J98" s="629"/>
    </row>
    <row r="99" spans="1:10" ht="15" customHeight="1">
      <c r="A99" s="627">
        <v>3</v>
      </c>
      <c r="B99" s="628" t="s">
        <v>245</v>
      </c>
      <c r="C99" s="630" t="s">
        <v>334</v>
      </c>
      <c r="D99" s="630"/>
      <c r="E99" s="630"/>
      <c r="F99" s="630"/>
      <c r="G99" s="630"/>
      <c r="H99" s="630"/>
      <c r="I99" s="630"/>
      <c r="J99" s="630"/>
    </row>
    <row r="100" spans="1:10">
      <c r="A100" s="627"/>
      <c r="B100" s="628"/>
      <c r="C100" s="630"/>
      <c r="D100" s="630"/>
      <c r="E100" s="630"/>
      <c r="F100" s="630"/>
      <c r="G100" s="630"/>
      <c r="H100" s="630"/>
      <c r="I100" s="630"/>
      <c r="J100" s="630"/>
    </row>
  </sheetData>
  <mergeCells count="86">
    <mergeCell ref="A81:A84"/>
    <mergeCell ref="B81:B84"/>
    <mergeCell ref="C81:J84"/>
    <mergeCell ref="A16:J16"/>
    <mergeCell ref="A12:J12"/>
    <mergeCell ref="A13:A14"/>
    <mergeCell ref="B13:B14"/>
    <mergeCell ref="C13:J14"/>
    <mergeCell ref="C17:J17"/>
    <mergeCell ref="A18:A21"/>
    <mergeCell ref="B18:B21"/>
    <mergeCell ref="C18:J21"/>
    <mergeCell ref="A22:A25"/>
    <mergeCell ref="B22:B25"/>
    <mergeCell ref="C22:J25"/>
    <mergeCell ref="A26:A30"/>
    <mergeCell ref="A6:J6"/>
    <mergeCell ref="A7:J7"/>
    <mergeCell ref="A8:J8"/>
    <mergeCell ref="A15:J15"/>
    <mergeCell ref="A9:J9"/>
    <mergeCell ref="A10:J10"/>
    <mergeCell ref="A1:J1"/>
    <mergeCell ref="A2:J2"/>
    <mergeCell ref="A3:J3"/>
    <mergeCell ref="A4:J4"/>
    <mergeCell ref="A5:J5"/>
    <mergeCell ref="B26:B30"/>
    <mergeCell ref="C26:J30"/>
    <mergeCell ref="A31:A33"/>
    <mergeCell ref="B31:B33"/>
    <mergeCell ref="C31:J33"/>
    <mergeCell ref="A34:A37"/>
    <mergeCell ref="B34:B37"/>
    <mergeCell ref="C34:J37"/>
    <mergeCell ref="A38:A43"/>
    <mergeCell ref="B38:B43"/>
    <mergeCell ref="C38:J43"/>
    <mergeCell ref="A44:A50"/>
    <mergeCell ref="B44:B50"/>
    <mergeCell ref="C44:J50"/>
    <mergeCell ref="A52:J52"/>
    <mergeCell ref="A53:A55"/>
    <mergeCell ref="B53:B55"/>
    <mergeCell ref="C53:J55"/>
    <mergeCell ref="A56:A58"/>
    <mergeCell ref="B56:B58"/>
    <mergeCell ref="C56:J58"/>
    <mergeCell ref="A59:A63"/>
    <mergeCell ref="B59:B63"/>
    <mergeCell ref="C59:J63"/>
    <mergeCell ref="A64:A69"/>
    <mergeCell ref="B64:B69"/>
    <mergeCell ref="C64:J69"/>
    <mergeCell ref="A70:J70"/>
    <mergeCell ref="A85:A86"/>
    <mergeCell ref="B85:B86"/>
    <mergeCell ref="C85:J86"/>
    <mergeCell ref="A71:J71"/>
    <mergeCell ref="A72:A74"/>
    <mergeCell ref="B72:B74"/>
    <mergeCell ref="C72:J74"/>
    <mergeCell ref="C75:J75"/>
    <mergeCell ref="A76:A79"/>
    <mergeCell ref="B76:B79"/>
    <mergeCell ref="C76:J79"/>
    <mergeCell ref="C80:J80"/>
    <mergeCell ref="C87:J87"/>
    <mergeCell ref="C88:J88"/>
    <mergeCell ref="A95:A96"/>
    <mergeCell ref="B95:B96"/>
    <mergeCell ref="C95:J96"/>
    <mergeCell ref="A89:A90"/>
    <mergeCell ref="B89:B90"/>
    <mergeCell ref="C89:J90"/>
    <mergeCell ref="A91:A92"/>
    <mergeCell ref="B91:B92"/>
    <mergeCell ref="C91:J92"/>
    <mergeCell ref="A93:J93"/>
    <mergeCell ref="A94:J94"/>
    <mergeCell ref="A97:A98"/>
    <mergeCell ref="B97:B98"/>
    <mergeCell ref="C97:J98"/>
    <mergeCell ref="A99:A100"/>
    <mergeCell ref="B99:B100"/>
    <mergeCell ref="C99:J100"/>
  </mergeCells>
  <pageMargins left="0.51181102362204722" right="0.51181102362204722" top="0.78740157480314965" bottom="0.78740157480314965" header="0.31496062992125984" footer="0.31496062992125984"/>
  <pageSetup paperSize="9" scale="67" orientation="portrait" horizontalDpi="300" verticalDpi="300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SA. DIURNO DESARMADO 12X36</vt:lpstr>
      <vt:lpstr>SA. NOTURNO ARMADO 12x36</vt:lpstr>
      <vt:lpstr>SA. UNIFORMES E EQUIPAMENTOS</vt:lpstr>
      <vt:lpstr>SA. RESUMO DA PROPOSTA</vt:lpstr>
      <vt:lpstr>SA. OBSERVAÇÕES</vt:lpstr>
      <vt:lpstr>'SA. DIURNO DESARMADO 12X36'!Area_de_impressao</vt:lpstr>
      <vt:lpstr>'SA. NOTURNO ARMADO 12x36'!Area_de_impressao</vt:lpstr>
      <vt:lpstr>'SA. OBSERVAÇÕES'!Area_de_impressao</vt:lpstr>
      <vt:lpstr>'SA. RESUMO DA PROPOSTA'!Area_de_impressao</vt:lpstr>
      <vt:lpstr>'SA. UNIFORMES E EQUIPAMENTOS'!Area_de_impressao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gparodes</dc:creator>
  <cp:lastModifiedBy>thome</cp:lastModifiedBy>
  <cp:revision>0</cp:revision>
  <cp:lastPrinted>2021-05-17T19:24:13Z</cp:lastPrinted>
  <dcterms:created xsi:type="dcterms:W3CDTF">2013-09-30T16:27:09Z</dcterms:created>
  <dcterms:modified xsi:type="dcterms:W3CDTF">2021-05-19T20:10:44Z</dcterms:modified>
  <dc:language>pt-BR</dc:language>
</cp:coreProperties>
</file>