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UBL.SET" sheetId="1" r:id="rId1"/>
  </sheets>
  <calcPr calcId="144525" iterateDelta="1E-4"/>
</workbook>
</file>

<file path=xl/calcChain.xml><?xml version="1.0" encoding="utf-8"?>
<calcChain xmlns="http://schemas.openxmlformats.org/spreadsheetml/2006/main">
  <c r="N3" i="1" l="1"/>
  <c r="G37" i="1"/>
  <c r="L32" i="1"/>
  <c r="I32" i="1"/>
  <c r="L31" i="1"/>
  <c r="I31" i="1"/>
  <c r="Y102" i="1" l="1"/>
  <c r="M102" i="1" s="1"/>
  <c r="N102" i="1"/>
  <c r="L102" i="1"/>
  <c r="K102" i="1"/>
  <c r="T102" i="1" s="1"/>
  <c r="I102" i="1"/>
  <c r="O102" i="1" s="1"/>
  <c r="F102" i="1"/>
  <c r="F101" i="1" s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H101" i="1"/>
  <c r="E101" i="1"/>
  <c r="N100" i="1"/>
  <c r="M100" i="1"/>
  <c r="L100" i="1"/>
  <c r="K100" i="1"/>
  <c r="Q100" i="1" s="1"/>
  <c r="J100" i="1"/>
  <c r="S100" i="1" s="1"/>
  <c r="I100" i="1"/>
  <c r="R100" i="1" s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H99" i="1"/>
  <c r="F99" i="1"/>
  <c r="E99" i="1"/>
  <c r="N98" i="1"/>
  <c r="M98" i="1"/>
  <c r="L98" i="1"/>
  <c r="K98" i="1"/>
  <c r="T98" i="1" s="1"/>
  <c r="J98" i="1"/>
  <c r="I98" i="1"/>
  <c r="O98" i="1" s="1"/>
  <c r="F98" i="1"/>
  <c r="AJ97" i="1"/>
  <c r="AJ94" i="1" s="1"/>
  <c r="N97" i="1"/>
  <c r="M97" i="1"/>
  <c r="K97" i="1"/>
  <c r="Q97" i="1" s="1"/>
  <c r="J97" i="1"/>
  <c r="P97" i="1" s="1"/>
  <c r="AG96" i="1"/>
  <c r="I96" i="1" s="1"/>
  <c r="N96" i="1"/>
  <c r="M96" i="1"/>
  <c r="K96" i="1"/>
  <c r="T96" i="1" s="1"/>
  <c r="J96" i="1"/>
  <c r="P96" i="1" s="1"/>
  <c r="E96" i="1"/>
  <c r="E95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U94" i="1"/>
  <c r="H94" i="1"/>
  <c r="G94" i="1"/>
  <c r="G93" i="1" s="1"/>
  <c r="R92" i="1"/>
  <c r="O92" i="1"/>
  <c r="N92" i="1"/>
  <c r="M92" i="1"/>
  <c r="L92" i="1"/>
  <c r="K92" i="1"/>
  <c r="Q92" i="1" s="1"/>
  <c r="J92" i="1"/>
  <c r="P92" i="1" s="1"/>
  <c r="N91" i="1"/>
  <c r="M91" i="1"/>
  <c r="L91" i="1"/>
  <c r="K91" i="1"/>
  <c r="Q91" i="1" s="1"/>
  <c r="J91" i="1"/>
  <c r="S91" i="1" s="1"/>
  <c r="I91" i="1"/>
  <c r="O91" i="1" s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H90" i="1"/>
  <c r="G90" i="1"/>
  <c r="G87" i="1" s="1"/>
  <c r="F90" i="1"/>
  <c r="E90" i="1"/>
  <c r="N89" i="1"/>
  <c r="M89" i="1"/>
  <c r="L89" i="1"/>
  <c r="K89" i="1"/>
  <c r="T89" i="1" s="1"/>
  <c r="J89" i="1"/>
  <c r="P89" i="1" s="1"/>
  <c r="I89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H88" i="1"/>
  <c r="F88" i="1"/>
  <c r="F87" i="1" s="1"/>
  <c r="E88" i="1"/>
  <c r="AB85" i="1"/>
  <c r="J85" i="1" s="1"/>
  <c r="N85" i="1"/>
  <c r="L85" i="1"/>
  <c r="K85" i="1"/>
  <c r="Q85" i="1" s="1"/>
  <c r="I85" i="1"/>
  <c r="R85" i="1" s="1"/>
  <c r="F85" i="1"/>
  <c r="F84" i="1" s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A84" i="1"/>
  <c r="Z84" i="1"/>
  <c r="Y84" i="1"/>
  <c r="X84" i="1"/>
  <c r="W84" i="1"/>
  <c r="V84" i="1"/>
  <c r="U84" i="1"/>
  <c r="H84" i="1"/>
  <c r="E84" i="1"/>
  <c r="AN82" i="1"/>
  <c r="AN81" i="1" s="1"/>
  <c r="AH82" i="1"/>
  <c r="AH81" i="1" s="1"/>
  <c r="AB82" i="1"/>
  <c r="AB81" i="1" s="1"/>
  <c r="Y82" i="1"/>
  <c r="Y81" i="1" s="1"/>
  <c r="N82" i="1"/>
  <c r="L82" i="1"/>
  <c r="K82" i="1"/>
  <c r="Q82" i="1" s="1"/>
  <c r="I82" i="1"/>
  <c r="R82" i="1" s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M81" i="1"/>
  <c r="AL81" i="1"/>
  <c r="AK81" i="1"/>
  <c r="AJ81" i="1"/>
  <c r="AI81" i="1"/>
  <c r="AG81" i="1"/>
  <c r="AF81" i="1"/>
  <c r="AE81" i="1"/>
  <c r="AD81" i="1"/>
  <c r="AC81" i="1"/>
  <c r="AA81" i="1"/>
  <c r="Z81" i="1"/>
  <c r="X81" i="1"/>
  <c r="W81" i="1"/>
  <c r="V81" i="1"/>
  <c r="U81" i="1"/>
  <c r="H81" i="1"/>
  <c r="F81" i="1"/>
  <c r="E81" i="1"/>
  <c r="N80" i="1"/>
  <c r="M80" i="1"/>
  <c r="L80" i="1"/>
  <c r="K80" i="1"/>
  <c r="Q80" i="1" s="1"/>
  <c r="J80" i="1"/>
  <c r="P80" i="1" s="1"/>
  <c r="I80" i="1"/>
  <c r="R80" i="1" s="1"/>
  <c r="N79" i="1"/>
  <c r="M79" i="1"/>
  <c r="L79" i="1"/>
  <c r="K79" i="1"/>
  <c r="T79" i="1" s="1"/>
  <c r="J79" i="1"/>
  <c r="P79" i="1" s="1"/>
  <c r="I79" i="1"/>
  <c r="N78" i="1"/>
  <c r="M78" i="1"/>
  <c r="L78" i="1"/>
  <c r="K78" i="1"/>
  <c r="Q78" i="1" s="1"/>
  <c r="J78" i="1"/>
  <c r="S78" i="1" s="1"/>
  <c r="I78" i="1"/>
  <c r="O78" i="1" s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H77" i="1"/>
  <c r="F77" i="1"/>
  <c r="E77" i="1"/>
  <c r="N76" i="1"/>
  <c r="M76" i="1"/>
  <c r="L76" i="1"/>
  <c r="K76" i="1"/>
  <c r="Q76" i="1" s="1"/>
  <c r="J76" i="1"/>
  <c r="P76" i="1" s="1"/>
  <c r="I76" i="1"/>
  <c r="R76" i="1" s="1"/>
  <c r="N75" i="1"/>
  <c r="M75" i="1"/>
  <c r="L75" i="1"/>
  <c r="K75" i="1"/>
  <c r="Q75" i="1" s="1"/>
  <c r="J75" i="1"/>
  <c r="P75" i="1" s="1"/>
  <c r="I75" i="1"/>
  <c r="O75" i="1" s="1"/>
  <c r="N74" i="1"/>
  <c r="M74" i="1"/>
  <c r="L74" i="1"/>
  <c r="K74" i="1"/>
  <c r="T74" i="1" s="1"/>
  <c r="T73" i="1" s="1"/>
  <c r="J74" i="1"/>
  <c r="P74" i="1" s="1"/>
  <c r="I74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H73" i="1"/>
  <c r="F73" i="1"/>
  <c r="E73" i="1"/>
  <c r="N72" i="1"/>
  <c r="M72" i="1"/>
  <c r="L72" i="1"/>
  <c r="K72" i="1"/>
  <c r="Q72" i="1" s="1"/>
  <c r="J72" i="1"/>
  <c r="S72" i="1" s="1"/>
  <c r="I72" i="1"/>
  <c r="R72" i="1" s="1"/>
  <c r="N71" i="1"/>
  <c r="M71" i="1"/>
  <c r="L71" i="1"/>
  <c r="K71" i="1"/>
  <c r="Q71" i="1" s="1"/>
  <c r="J71" i="1"/>
  <c r="P71" i="1" s="1"/>
  <c r="I71" i="1"/>
  <c r="R71" i="1" s="1"/>
  <c r="N70" i="1"/>
  <c r="M70" i="1"/>
  <c r="L70" i="1"/>
  <c r="K70" i="1"/>
  <c r="Q70" i="1" s="1"/>
  <c r="J70" i="1"/>
  <c r="I70" i="1"/>
  <c r="R70" i="1" s="1"/>
  <c r="R69" i="1" s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H69" i="1"/>
  <c r="F69" i="1"/>
  <c r="E69" i="1"/>
  <c r="AI68" i="1"/>
  <c r="AI67" i="1" s="1"/>
  <c r="AF68" i="1"/>
  <c r="M68" i="1"/>
  <c r="L68" i="1"/>
  <c r="J68" i="1"/>
  <c r="P68" i="1" s="1"/>
  <c r="I68" i="1"/>
  <c r="H68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H67" i="1"/>
  <c r="AG67" i="1"/>
  <c r="AE67" i="1"/>
  <c r="AD67" i="1"/>
  <c r="AC67" i="1"/>
  <c r="AB67" i="1"/>
  <c r="AA67" i="1"/>
  <c r="Z67" i="1"/>
  <c r="Y67" i="1"/>
  <c r="X67" i="1"/>
  <c r="W67" i="1"/>
  <c r="V67" i="1"/>
  <c r="U67" i="1"/>
  <c r="F67" i="1"/>
  <c r="E67" i="1"/>
  <c r="N66" i="1"/>
  <c r="M66" i="1"/>
  <c r="L66" i="1"/>
  <c r="K66" i="1"/>
  <c r="T66" i="1" s="1"/>
  <c r="J66" i="1"/>
  <c r="P66" i="1" s="1"/>
  <c r="I66" i="1"/>
  <c r="AT65" i="1"/>
  <c r="AT63" i="1" s="1"/>
  <c r="AH65" i="1"/>
  <c r="AH63" i="1" s="1"/>
  <c r="AB65" i="1"/>
  <c r="AB63" i="1" s="1"/>
  <c r="Y65" i="1"/>
  <c r="Y63" i="1" s="1"/>
  <c r="N65" i="1"/>
  <c r="L65" i="1"/>
  <c r="K65" i="1"/>
  <c r="T65" i="1" s="1"/>
  <c r="I65" i="1"/>
  <c r="O65" i="1" s="1"/>
  <c r="F65" i="1"/>
  <c r="N64" i="1"/>
  <c r="M64" i="1"/>
  <c r="L64" i="1"/>
  <c r="K64" i="1"/>
  <c r="T64" i="1" s="1"/>
  <c r="J64" i="1"/>
  <c r="I64" i="1"/>
  <c r="F64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S63" i="1"/>
  <c r="AR63" i="1"/>
  <c r="AQ63" i="1"/>
  <c r="AP63" i="1"/>
  <c r="AO63" i="1"/>
  <c r="AN63" i="1"/>
  <c r="AM63" i="1"/>
  <c r="AL63" i="1"/>
  <c r="AK63" i="1"/>
  <c r="AJ63" i="1"/>
  <c r="AI63" i="1"/>
  <c r="AG63" i="1"/>
  <c r="AF63" i="1"/>
  <c r="AE63" i="1"/>
  <c r="AD63" i="1"/>
  <c r="AC63" i="1"/>
  <c r="AA63" i="1"/>
  <c r="Z63" i="1"/>
  <c r="X63" i="1"/>
  <c r="W63" i="1"/>
  <c r="V63" i="1"/>
  <c r="U63" i="1"/>
  <c r="H63" i="1"/>
  <c r="E63" i="1"/>
  <c r="N61" i="1"/>
  <c r="M61" i="1"/>
  <c r="L61" i="1"/>
  <c r="K61" i="1"/>
  <c r="T61" i="1" s="1"/>
  <c r="J61" i="1"/>
  <c r="I61" i="1"/>
  <c r="R61" i="1" s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H60" i="1"/>
  <c r="F60" i="1"/>
  <c r="E60" i="1"/>
  <c r="N59" i="1"/>
  <c r="M59" i="1"/>
  <c r="L59" i="1"/>
  <c r="K59" i="1"/>
  <c r="T59" i="1" s="1"/>
  <c r="J59" i="1"/>
  <c r="P59" i="1" s="1"/>
  <c r="I59" i="1"/>
  <c r="O59" i="1" s="1"/>
  <c r="N58" i="1"/>
  <c r="M58" i="1"/>
  <c r="L58" i="1"/>
  <c r="K58" i="1"/>
  <c r="T58" i="1" s="1"/>
  <c r="J58" i="1"/>
  <c r="P58" i="1" s="1"/>
  <c r="I58" i="1"/>
  <c r="O58" i="1" s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H56" i="1"/>
  <c r="G56" i="1"/>
  <c r="G55" i="1" s="1"/>
  <c r="F56" i="1"/>
  <c r="E56" i="1"/>
  <c r="AB54" i="1"/>
  <c r="J54" i="1" s="1"/>
  <c r="N54" i="1"/>
  <c r="L54" i="1"/>
  <c r="K54" i="1"/>
  <c r="T54" i="1" s="1"/>
  <c r="I54" i="1"/>
  <c r="O54" i="1" s="1"/>
  <c r="F54" i="1"/>
  <c r="F52" i="1" s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H52" i="1"/>
  <c r="E52" i="1"/>
  <c r="AS51" i="1"/>
  <c r="AK51" i="1"/>
  <c r="AK49" i="1" s="1"/>
  <c r="AJ51" i="1"/>
  <c r="AJ49" i="1" s="1"/>
  <c r="AE51" i="1"/>
  <c r="AE49" i="1" s="1"/>
  <c r="AB51" i="1"/>
  <c r="AB49" i="1" s="1"/>
  <c r="Y51" i="1"/>
  <c r="Y49" i="1" s="1"/>
  <c r="N51" i="1"/>
  <c r="K51" i="1"/>
  <c r="T51" i="1" s="1"/>
  <c r="F51" i="1"/>
  <c r="F49" i="1" s="1"/>
  <c r="E51" i="1"/>
  <c r="N50" i="1"/>
  <c r="M50" i="1"/>
  <c r="L50" i="1"/>
  <c r="K50" i="1"/>
  <c r="T50" i="1" s="1"/>
  <c r="J50" i="1"/>
  <c r="P50" i="1" s="1"/>
  <c r="I50" i="1"/>
  <c r="E50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R49" i="1"/>
  <c r="AQ49" i="1"/>
  <c r="AP49" i="1"/>
  <c r="AO49" i="1"/>
  <c r="AN49" i="1"/>
  <c r="AM49" i="1"/>
  <c r="AL49" i="1"/>
  <c r="AI49" i="1"/>
  <c r="AH49" i="1"/>
  <c r="AG49" i="1"/>
  <c r="AF49" i="1"/>
  <c r="AD49" i="1"/>
  <c r="AC49" i="1"/>
  <c r="AA49" i="1"/>
  <c r="Z49" i="1"/>
  <c r="X49" i="1"/>
  <c r="W49" i="1"/>
  <c r="V49" i="1"/>
  <c r="U49" i="1"/>
  <c r="H49" i="1"/>
  <c r="N48" i="1"/>
  <c r="M48" i="1"/>
  <c r="L48" i="1"/>
  <c r="K48" i="1"/>
  <c r="Q48" i="1" s="1"/>
  <c r="J48" i="1"/>
  <c r="S48" i="1" s="1"/>
  <c r="I48" i="1"/>
  <c r="E48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H47" i="1"/>
  <c r="F47" i="1"/>
  <c r="N46" i="1"/>
  <c r="M46" i="1"/>
  <c r="L46" i="1"/>
  <c r="K46" i="1"/>
  <c r="Q46" i="1" s="1"/>
  <c r="J46" i="1"/>
  <c r="P46" i="1" s="1"/>
  <c r="I46" i="1"/>
  <c r="R46" i="1" s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H45" i="1"/>
  <c r="F45" i="1"/>
  <c r="E45" i="1"/>
  <c r="N44" i="1"/>
  <c r="M44" i="1"/>
  <c r="L44" i="1"/>
  <c r="K44" i="1"/>
  <c r="Q44" i="1" s="1"/>
  <c r="J44" i="1"/>
  <c r="S44" i="1" s="1"/>
  <c r="I44" i="1"/>
  <c r="R44" i="1" s="1"/>
  <c r="N43" i="1"/>
  <c r="M43" i="1"/>
  <c r="L43" i="1"/>
  <c r="K43" i="1"/>
  <c r="Q43" i="1" s="1"/>
  <c r="J43" i="1"/>
  <c r="S43" i="1" s="1"/>
  <c r="I43" i="1"/>
  <c r="R43" i="1" s="1"/>
  <c r="AQ42" i="1"/>
  <c r="AQ38" i="1" s="1"/>
  <c r="AQ37" i="1" s="1"/>
  <c r="AB42" i="1"/>
  <c r="AB38" i="1" s="1"/>
  <c r="N42" i="1"/>
  <c r="L42" i="1"/>
  <c r="K42" i="1"/>
  <c r="T42" i="1" s="1"/>
  <c r="I42" i="1"/>
  <c r="R42" i="1" s="1"/>
  <c r="AP41" i="1"/>
  <c r="M41" i="1" s="1"/>
  <c r="AG41" i="1"/>
  <c r="AA41" i="1"/>
  <c r="N41" i="1"/>
  <c r="K41" i="1"/>
  <c r="Q41" i="1" s="1"/>
  <c r="E41" i="1"/>
  <c r="AG40" i="1"/>
  <c r="AA40" i="1"/>
  <c r="N40" i="1"/>
  <c r="M40" i="1"/>
  <c r="K40" i="1"/>
  <c r="J40" i="1"/>
  <c r="P40" i="1" s="1"/>
  <c r="E40" i="1"/>
  <c r="AN39" i="1"/>
  <c r="M39" i="1" s="1"/>
  <c r="AJ39" i="1"/>
  <c r="AJ38" i="1" s="1"/>
  <c r="AJ37" i="1" s="1"/>
  <c r="N39" i="1"/>
  <c r="K39" i="1"/>
  <c r="Q39" i="1" s="1"/>
  <c r="F39" i="1"/>
  <c r="E39" i="1"/>
  <c r="BG38" i="1"/>
  <c r="BF38" i="1"/>
  <c r="BE38" i="1"/>
  <c r="BD38" i="1"/>
  <c r="BD37" i="1" s="1"/>
  <c r="BC38" i="1"/>
  <c r="BC37" i="1" s="1"/>
  <c r="BB38" i="1"/>
  <c r="BA38" i="1"/>
  <c r="AZ38" i="1"/>
  <c r="AZ37" i="1" s="1"/>
  <c r="AY38" i="1"/>
  <c r="AY37" i="1" s="1"/>
  <c r="AX38" i="1"/>
  <c r="AW38" i="1"/>
  <c r="AV38" i="1"/>
  <c r="AV37" i="1" s="1"/>
  <c r="AU38" i="1"/>
  <c r="AU37" i="1" s="1"/>
  <c r="AT38" i="1"/>
  <c r="AS38" i="1"/>
  <c r="AR38" i="1"/>
  <c r="AR37" i="1" s="1"/>
  <c r="AO38" i="1"/>
  <c r="AM38" i="1"/>
  <c r="AM37" i="1" s="1"/>
  <c r="AL38" i="1"/>
  <c r="AK38" i="1"/>
  <c r="AK37" i="1" s="1"/>
  <c r="AI38" i="1"/>
  <c r="AI37" i="1" s="1"/>
  <c r="AH38" i="1"/>
  <c r="AF38" i="1"/>
  <c r="AE38" i="1"/>
  <c r="AE37" i="1" s="1"/>
  <c r="AD38" i="1"/>
  <c r="AC38" i="1"/>
  <c r="Z38" i="1"/>
  <c r="Y38" i="1"/>
  <c r="Y37" i="1" s="1"/>
  <c r="X38" i="1"/>
  <c r="X37" i="1" s="1"/>
  <c r="W38" i="1"/>
  <c r="V38" i="1"/>
  <c r="U38" i="1"/>
  <c r="U37" i="1" s="1"/>
  <c r="H38" i="1"/>
  <c r="H37" i="1" s="1"/>
  <c r="N36" i="1"/>
  <c r="M36" i="1"/>
  <c r="L36" i="1"/>
  <c r="K36" i="1"/>
  <c r="Q36" i="1" s="1"/>
  <c r="J36" i="1"/>
  <c r="P36" i="1" s="1"/>
  <c r="I36" i="1"/>
  <c r="AS35" i="1"/>
  <c r="AJ35" i="1"/>
  <c r="AD35" i="1"/>
  <c r="U35" i="1"/>
  <c r="U6" i="1" s="1"/>
  <c r="N35" i="1"/>
  <c r="M35" i="1"/>
  <c r="K35" i="1"/>
  <c r="T35" i="1" s="1"/>
  <c r="J35" i="1"/>
  <c r="P35" i="1" s="1"/>
  <c r="E35" i="1"/>
  <c r="N34" i="1"/>
  <c r="M34" i="1"/>
  <c r="L34" i="1"/>
  <c r="K34" i="1"/>
  <c r="Q34" i="1" s="1"/>
  <c r="J34" i="1"/>
  <c r="P34" i="1" s="1"/>
  <c r="I34" i="1"/>
  <c r="O34" i="1" s="1"/>
  <c r="N33" i="1"/>
  <c r="M33" i="1"/>
  <c r="L33" i="1"/>
  <c r="K33" i="1"/>
  <c r="Q33" i="1" s="1"/>
  <c r="J33" i="1"/>
  <c r="S33" i="1" s="1"/>
  <c r="I33" i="1"/>
  <c r="R33" i="1" s="1"/>
  <c r="AT32" i="1"/>
  <c r="AT6" i="1" s="1"/>
  <c r="AQ32" i="1"/>
  <c r="AQ6" i="1" s="1"/>
  <c r="AE32" i="1"/>
  <c r="AB32" i="1"/>
  <c r="N32" i="1"/>
  <c r="K32" i="1"/>
  <c r="Q32" i="1" s="1"/>
  <c r="AH31" i="1"/>
  <c r="AH6" i="1" s="1"/>
  <c r="AE31" i="1"/>
  <c r="N31" i="1"/>
  <c r="K31" i="1"/>
  <c r="T31" i="1" s="1"/>
  <c r="O31" i="1"/>
  <c r="N29" i="1"/>
  <c r="M29" i="1"/>
  <c r="L29" i="1"/>
  <c r="K29" i="1"/>
  <c r="Q29" i="1" s="1"/>
  <c r="J29" i="1"/>
  <c r="P29" i="1" s="1"/>
  <c r="I29" i="1"/>
  <c r="AP28" i="1"/>
  <c r="AP6" i="1" s="1"/>
  <c r="AM28" i="1"/>
  <c r="AM6" i="1" s="1"/>
  <c r="AJ28" i="1"/>
  <c r="N28" i="1"/>
  <c r="M28" i="1"/>
  <c r="K28" i="1"/>
  <c r="Q28" i="1" s="1"/>
  <c r="J28" i="1"/>
  <c r="F28" i="1"/>
  <c r="E28" i="1"/>
  <c r="N27" i="1"/>
  <c r="M27" i="1"/>
  <c r="L27" i="1"/>
  <c r="K27" i="1"/>
  <c r="Q27" i="1" s="1"/>
  <c r="J27" i="1"/>
  <c r="P27" i="1" s="1"/>
  <c r="I27" i="1"/>
  <c r="E27" i="1"/>
  <c r="AB26" i="1"/>
  <c r="Y26" i="1"/>
  <c r="V26" i="1"/>
  <c r="N26" i="1"/>
  <c r="L26" i="1"/>
  <c r="K26" i="1"/>
  <c r="Q26" i="1" s="1"/>
  <c r="I26" i="1"/>
  <c r="F26" i="1"/>
  <c r="E26" i="1"/>
  <c r="N25" i="1"/>
  <c r="M25" i="1"/>
  <c r="L25" i="1"/>
  <c r="K25" i="1"/>
  <c r="Q25" i="1" s="1"/>
  <c r="J25" i="1"/>
  <c r="P25" i="1" s="1"/>
  <c r="I25" i="1"/>
  <c r="E25" i="1"/>
  <c r="AJ24" i="1"/>
  <c r="X24" i="1"/>
  <c r="N24" i="1"/>
  <c r="M24" i="1"/>
  <c r="K24" i="1"/>
  <c r="Q24" i="1" s="1"/>
  <c r="J24" i="1"/>
  <c r="F24" i="1"/>
  <c r="E24" i="1"/>
  <c r="AG23" i="1"/>
  <c r="L23" i="1" s="1"/>
  <c r="N23" i="1"/>
  <c r="M23" i="1"/>
  <c r="K23" i="1"/>
  <c r="Q23" i="1" s="1"/>
  <c r="J23" i="1"/>
  <c r="P23" i="1" s="1"/>
  <c r="E23" i="1"/>
  <c r="N22" i="1"/>
  <c r="M22" i="1"/>
  <c r="L22" i="1"/>
  <c r="K22" i="1"/>
  <c r="Q22" i="1" s="1"/>
  <c r="J22" i="1"/>
  <c r="I22" i="1"/>
  <c r="O22" i="1" s="1"/>
  <c r="F22" i="1"/>
  <c r="Y21" i="1"/>
  <c r="N21" i="1"/>
  <c r="L21" i="1"/>
  <c r="K21" i="1"/>
  <c r="T21" i="1" s="1"/>
  <c r="I21" i="1"/>
  <c r="O21" i="1" s="1"/>
  <c r="F21" i="1"/>
  <c r="N20" i="1"/>
  <c r="M20" i="1"/>
  <c r="L20" i="1"/>
  <c r="K20" i="1"/>
  <c r="Q20" i="1" s="1"/>
  <c r="J20" i="1"/>
  <c r="P20" i="1" s="1"/>
  <c r="I20" i="1"/>
  <c r="N19" i="1"/>
  <c r="M19" i="1"/>
  <c r="L19" i="1"/>
  <c r="K19" i="1"/>
  <c r="Q19" i="1" s="1"/>
  <c r="J19" i="1"/>
  <c r="P19" i="1" s="1"/>
  <c r="I19" i="1"/>
  <c r="E19" i="1"/>
  <c r="N18" i="1"/>
  <c r="M18" i="1"/>
  <c r="L18" i="1"/>
  <c r="K18" i="1"/>
  <c r="Q18" i="1" s="1"/>
  <c r="J18" i="1"/>
  <c r="P18" i="1" s="1"/>
  <c r="I18" i="1"/>
  <c r="O18" i="1" s="1"/>
  <c r="N17" i="1"/>
  <c r="M17" i="1"/>
  <c r="L17" i="1"/>
  <c r="K17" i="1"/>
  <c r="Q17" i="1" s="1"/>
  <c r="J17" i="1"/>
  <c r="P17" i="1" s="1"/>
  <c r="I17" i="1"/>
  <c r="O17" i="1" s="1"/>
  <c r="N16" i="1"/>
  <c r="M16" i="1"/>
  <c r="L16" i="1"/>
  <c r="K16" i="1"/>
  <c r="Q16" i="1" s="1"/>
  <c r="J16" i="1"/>
  <c r="I16" i="1"/>
  <c r="O16" i="1" s="1"/>
  <c r="N15" i="1"/>
  <c r="M15" i="1"/>
  <c r="L15" i="1"/>
  <c r="K15" i="1"/>
  <c r="Q15" i="1" s="1"/>
  <c r="J15" i="1"/>
  <c r="P15" i="1" s="1"/>
  <c r="I15" i="1"/>
  <c r="O15" i="1" s="1"/>
  <c r="N14" i="1"/>
  <c r="M14" i="1"/>
  <c r="L14" i="1"/>
  <c r="K14" i="1"/>
  <c r="Q14" i="1" s="1"/>
  <c r="J14" i="1"/>
  <c r="S14" i="1" s="1"/>
  <c r="I14" i="1"/>
  <c r="E14" i="1"/>
  <c r="AG13" i="1"/>
  <c r="V13" i="1"/>
  <c r="M13" i="1" s="1"/>
  <c r="N13" i="1"/>
  <c r="K13" i="1"/>
  <c r="T13" i="1" s="1"/>
  <c r="E13" i="1"/>
  <c r="N12" i="1"/>
  <c r="M12" i="1"/>
  <c r="L12" i="1"/>
  <c r="K12" i="1"/>
  <c r="Q12" i="1" s="1"/>
  <c r="J12" i="1"/>
  <c r="S12" i="1" s="1"/>
  <c r="I12" i="1"/>
  <c r="E12" i="1"/>
  <c r="AG11" i="1"/>
  <c r="I11" i="1" s="1"/>
  <c r="N11" i="1"/>
  <c r="M11" i="1"/>
  <c r="K11" i="1"/>
  <c r="Q11" i="1" s="1"/>
  <c r="J11" i="1"/>
  <c r="P11" i="1" s="1"/>
  <c r="E11" i="1"/>
  <c r="AJ10" i="1"/>
  <c r="AG10" i="1"/>
  <c r="V10" i="1"/>
  <c r="M10" i="1" s="1"/>
  <c r="N10" i="1"/>
  <c r="K10" i="1"/>
  <c r="T10" i="1" s="1"/>
  <c r="E10" i="1"/>
  <c r="AJ9" i="1"/>
  <c r="AG9" i="1"/>
  <c r="Y9" i="1"/>
  <c r="M9" i="1" s="1"/>
  <c r="N9" i="1"/>
  <c r="K9" i="1"/>
  <c r="T9" i="1" s="1"/>
  <c r="E9" i="1"/>
  <c r="AK8" i="1"/>
  <c r="AK6" i="1" s="1"/>
  <c r="AB8" i="1"/>
  <c r="Y8" i="1"/>
  <c r="N8" i="1"/>
  <c r="L8" i="1"/>
  <c r="K8" i="1"/>
  <c r="Q8" i="1" s="1"/>
  <c r="I8" i="1"/>
  <c r="F8" i="1"/>
  <c r="AJ7" i="1"/>
  <c r="AD7" i="1"/>
  <c r="X7" i="1"/>
  <c r="N7" i="1"/>
  <c r="M7" i="1"/>
  <c r="K7" i="1"/>
  <c r="Q7" i="1" s="1"/>
  <c r="J7" i="1"/>
  <c r="P7" i="1" s="1"/>
  <c r="E7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S6" i="1"/>
  <c r="AR6" i="1"/>
  <c r="AO6" i="1"/>
  <c r="AN6" i="1"/>
  <c r="AL6" i="1"/>
  <c r="AI6" i="1"/>
  <c r="AF6" i="1"/>
  <c r="AC6" i="1"/>
  <c r="AA6" i="1"/>
  <c r="Z6" i="1"/>
  <c r="W6" i="1"/>
  <c r="H6" i="1"/>
  <c r="G6" i="1"/>
  <c r="AJ5" i="1"/>
  <c r="I5" i="1" s="1"/>
  <c r="N5" i="1"/>
  <c r="M5" i="1"/>
  <c r="K5" i="1"/>
  <c r="Q5" i="1" s="1"/>
  <c r="J5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H4" i="1"/>
  <c r="F4" i="1"/>
  <c r="E4" i="1"/>
  <c r="AD37" i="1" l="1"/>
  <c r="AO37" i="1"/>
  <c r="V37" i="1"/>
  <c r="Z37" i="1"/>
  <c r="AF37" i="1"/>
  <c r="AL37" i="1"/>
  <c r="AW37" i="1"/>
  <c r="BA37" i="1"/>
  <c r="BE37" i="1"/>
  <c r="W37" i="1"/>
  <c r="AC37" i="1"/>
  <c r="AH37" i="1"/>
  <c r="AT37" i="1"/>
  <c r="AX37" i="1"/>
  <c r="BB37" i="1"/>
  <c r="AW62" i="1"/>
  <c r="BA62" i="1"/>
  <c r="BA55" i="1" s="1"/>
  <c r="BE62" i="1"/>
  <c r="BE55" i="1" s="1"/>
  <c r="AL93" i="1"/>
  <c r="AP93" i="1"/>
  <c r="AT93" i="1"/>
  <c r="AX93" i="1"/>
  <c r="BB93" i="1"/>
  <c r="BF93" i="1"/>
  <c r="AD6" i="1"/>
  <c r="AH93" i="1"/>
  <c r="W93" i="1"/>
  <c r="AK93" i="1"/>
  <c r="AO93" i="1"/>
  <c r="AS93" i="1"/>
  <c r="AW93" i="1"/>
  <c r="BA93" i="1"/>
  <c r="BE93" i="1"/>
  <c r="V6" i="1"/>
  <c r="F6" i="1"/>
  <c r="X87" i="1"/>
  <c r="AJ87" i="1"/>
  <c r="AN87" i="1"/>
  <c r="AZ87" i="1"/>
  <c r="U93" i="1"/>
  <c r="Y93" i="1"/>
  <c r="AC93" i="1"/>
  <c r="X93" i="1"/>
  <c r="AF93" i="1"/>
  <c r="X6" i="1"/>
  <c r="AV93" i="1"/>
  <c r="AK62" i="1"/>
  <c r="AK55" i="1" s="1"/>
  <c r="AO62" i="1"/>
  <c r="AO55" i="1" s="1"/>
  <c r="AS62" i="1"/>
  <c r="BD87" i="1"/>
  <c r="AU93" i="1"/>
  <c r="S22" i="1"/>
  <c r="X62" i="1"/>
  <c r="X55" i="1" s="1"/>
  <c r="AG62" i="1"/>
  <c r="AG55" i="1" s="1"/>
  <c r="AL62" i="1"/>
  <c r="AL55" i="1" s="1"/>
  <c r="AP62" i="1"/>
  <c r="AP55" i="1" s="1"/>
  <c r="AN62" i="1"/>
  <c r="AN55" i="1" s="1"/>
  <c r="R26" i="1"/>
  <c r="I40" i="1"/>
  <c r="R40" i="1" s="1"/>
  <c r="AB62" i="1"/>
  <c r="AX62" i="1"/>
  <c r="AX55" i="1" s="1"/>
  <c r="BB62" i="1"/>
  <c r="BB55" i="1" s="1"/>
  <c r="BD93" i="1"/>
  <c r="I45" i="1"/>
  <c r="R45" i="1" s="1"/>
  <c r="E49" i="1"/>
  <c r="V62" i="1"/>
  <c r="V55" i="1" s="1"/>
  <c r="AJ62" i="1"/>
  <c r="AJ55" i="1" s="1"/>
  <c r="AR62" i="1"/>
  <c r="AR55" i="1" s="1"/>
  <c r="AT62" i="1"/>
  <c r="AT55" i="1" s="1"/>
  <c r="S85" i="1"/>
  <c r="E87" i="1"/>
  <c r="AV62" i="1"/>
  <c r="AV55" i="1" s="1"/>
  <c r="AZ62" i="1"/>
  <c r="AZ55" i="1" s="1"/>
  <c r="BD62" i="1"/>
  <c r="BD55" i="1" s="1"/>
  <c r="I88" i="1"/>
  <c r="R88" i="1" s="1"/>
  <c r="M8" i="1"/>
  <c r="AH62" i="1"/>
  <c r="AH55" i="1" s="1"/>
  <c r="BG87" i="1"/>
  <c r="I97" i="1"/>
  <c r="O97" i="1" s="1"/>
  <c r="P33" i="1"/>
  <c r="AM93" i="1"/>
  <c r="BG93" i="1"/>
  <c r="P43" i="1"/>
  <c r="I56" i="1"/>
  <c r="R56" i="1" s="1"/>
  <c r="V93" i="1"/>
  <c r="Z93" i="1"/>
  <c r="AD93" i="1"/>
  <c r="AB6" i="1"/>
  <c r="L24" i="1"/>
  <c r="J42" i="1"/>
  <c r="S42" i="1" s="1"/>
  <c r="Q45" i="1"/>
  <c r="K52" i="1"/>
  <c r="T52" i="1" s="1"/>
  <c r="Z62" i="1"/>
  <c r="Z55" i="1" s="1"/>
  <c r="AD62" i="1"/>
  <c r="AD55" i="1" s="1"/>
  <c r="Y62" i="1"/>
  <c r="Y55" i="1" s="1"/>
  <c r="S71" i="1"/>
  <c r="Y87" i="1"/>
  <c r="AC87" i="1"/>
  <c r="AG87" i="1"/>
  <c r="AK87" i="1"/>
  <c r="AO87" i="1"/>
  <c r="AS87" i="1"/>
  <c r="AW87" i="1"/>
  <c r="AW86" i="1" s="1"/>
  <c r="BA87" i="1"/>
  <c r="BE87" i="1"/>
  <c r="H87" i="1"/>
  <c r="AQ93" i="1"/>
  <c r="AY93" i="1"/>
  <c r="BC93" i="1"/>
  <c r="AE93" i="1"/>
  <c r="S29" i="1"/>
  <c r="H93" i="1"/>
  <c r="AB93" i="1"/>
  <c r="AN93" i="1"/>
  <c r="L5" i="1"/>
  <c r="E38" i="1"/>
  <c r="M54" i="1"/>
  <c r="AA87" i="1"/>
  <c r="AU87" i="1"/>
  <c r="AG94" i="1"/>
  <c r="AG93" i="1" s="1"/>
  <c r="L96" i="1"/>
  <c r="I4" i="1"/>
  <c r="J31" i="1"/>
  <c r="P31" i="1" s="1"/>
  <c r="M31" i="1"/>
  <c r="M45" i="1"/>
  <c r="R59" i="1"/>
  <c r="K63" i="1"/>
  <c r="T63" i="1" s="1"/>
  <c r="O71" i="1"/>
  <c r="M85" i="1"/>
  <c r="V87" i="1"/>
  <c r="Z87" i="1"/>
  <c r="AD87" i="1"/>
  <c r="AH87" i="1"/>
  <c r="AL87" i="1"/>
  <c r="AL86" i="1" s="1"/>
  <c r="AP87" i="1"/>
  <c r="AT87" i="1"/>
  <c r="AX87" i="1"/>
  <c r="BB87" i="1"/>
  <c r="BB86" i="1" s="1"/>
  <c r="BF87" i="1"/>
  <c r="J90" i="1"/>
  <c r="S90" i="1" s="1"/>
  <c r="AA93" i="1"/>
  <c r="AI93" i="1"/>
  <c r="AR93" i="1"/>
  <c r="AZ93" i="1"/>
  <c r="E94" i="1"/>
  <c r="E93" i="1" s="1"/>
  <c r="AJ93" i="1"/>
  <c r="I101" i="1"/>
  <c r="R101" i="1" s="1"/>
  <c r="J10" i="1"/>
  <c r="P10" i="1" s="1"/>
  <c r="S24" i="1"/>
  <c r="AA38" i="1"/>
  <c r="AA37" i="1" s="1"/>
  <c r="U62" i="1"/>
  <c r="U55" i="1" s="1"/>
  <c r="AC62" i="1"/>
  <c r="AC55" i="1" s="1"/>
  <c r="O70" i="1"/>
  <c r="I77" i="1"/>
  <c r="R77" i="1" s="1"/>
  <c r="AB84" i="1"/>
  <c r="M84" i="1" s="1"/>
  <c r="W87" i="1"/>
  <c r="W86" i="1" s="1"/>
  <c r="AE87" i="1"/>
  <c r="AI87" i="1"/>
  <c r="AM87" i="1"/>
  <c r="AQ87" i="1"/>
  <c r="AY87" i="1"/>
  <c r="BC87" i="1"/>
  <c r="N99" i="1"/>
  <c r="P100" i="1"/>
  <c r="L101" i="1"/>
  <c r="I28" i="1"/>
  <c r="R28" i="1" s="1"/>
  <c r="S34" i="1"/>
  <c r="AG38" i="1"/>
  <c r="AG37" i="1" s="1"/>
  <c r="T44" i="1"/>
  <c r="S97" i="1"/>
  <c r="I99" i="1"/>
  <c r="R99" i="1" s="1"/>
  <c r="K4" i="1"/>
  <c r="T4" i="1" s="1"/>
  <c r="AJ4" i="1"/>
  <c r="L4" i="1" s="1"/>
  <c r="N6" i="1"/>
  <c r="T8" i="1"/>
  <c r="L10" i="1"/>
  <c r="L11" i="1"/>
  <c r="P24" i="1"/>
  <c r="M32" i="1"/>
  <c r="O33" i="1"/>
  <c r="I35" i="1"/>
  <c r="O35" i="1" s="1"/>
  <c r="AP38" i="1"/>
  <c r="AP37" i="1" s="1"/>
  <c r="I39" i="1"/>
  <c r="O39" i="1" s="1"/>
  <c r="T39" i="1"/>
  <c r="P44" i="1"/>
  <c r="F63" i="1"/>
  <c r="F62" i="1" s="1"/>
  <c r="F55" i="1" s="1"/>
  <c r="I69" i="1"/>
  <c r="R75" i="1"/>
  <c r="T91" i="1"/>
  <c r="J94" i="1"/>
  <c r="P98" i="1"/>
  <c r="M101" i="1"/>
  <c r="J13" i="1"/>
  <c r="P13" i="1" s="1"/>
  <c r="Q13" i="1"/>
  <c r="T15" i="1"/>
  <c r="T36" i="1"/>
  <c r="S40" i="1"/>
  <c r="N88" i="1"/>
  <c r="R18" i="1"/>
  <c r="R22" i="1"/>
  <c r="T24" i="1"/>
  <c r="O25" i="1"/>
  <c r="M26" i="1"/>
  <c r="Q31" i="1"/>
  <c r="L39" i="1"/>
  <c r="K38" i="1"/>
  <c r="O46" i="1"/>
  <c r="K47" i="1"/>
  <c r="T47" i="1" s="1"/>
  <c r="L60" i="1"/>
  <c r="S68" i="1"/>
  <c r="S67" i="1" s="1"/>
  <c r="P72" i="1"/>
  <c r="L77" i="1"/>
  <c r="T82" i="1"/>
  <c r="K88" i="1"/>
  <c r="T88" i="1" s="1"/>
  <c r="AB87" i="1"/>
  <c r="AF87" i="1"/>
  <c r="AR87" i="1"/>
  <c r="AV87" i="1"/>
  <c r="L97" i="1"/>
  <c r="T5" i="1"/>
  <c r="P12" i="1"/>
  <c r="T18" i="1"/>
  <c r="S28" i="1"/>
  <c r="L41" i="1"/>
  <c r="S46" i="1"/>
  <c r="M47" i="1"/>
  <c r="K49" i="1"/>
  <c r="T49" i="1" s="1"/>
  <c r="M56" i="1"/>
  <c r="S64" i="1"/>
  <c r="L69" i="1"/>
  <c r="K73" i="1"/>
  <c r="M73" i="1"/>
  <c r="S76" i="1"/>
  <c r="O85" i="1"/>
  <c r="L88" i="1"/>
  <c r="G86" i="1"/>
  <c r="G3" i="1" s="1"/>
  <c r="S7" i="1"/>
  <c r="O11" i="1"/>
  <c r="R5" i="1"/>
  <c r="Q4" i="1"/>
  <c r="Y6" i="1"/>
  <c r="J9" i="1"/>
  <c r="P9" i="1" s="1"/>
  <c r="Q9" i="1"/>
  <c r="I10" i="1"/>
  <c r="R10" i="1" s="1"/>
  <c r="P14" i="1"/>
  <c r="R20" i="1"/>
  <c r="O20" i="1"/>
  <c r="J21" i="1"/>
  <c r="S21" i="1" s="1"/>
  <c r="M21" i="1"/>
  <c r="S23" i="1"/>
  <c r="R8" i="1"/>
  <c r="Q10" i="1"/>
  <c r="R15" i="1"/>
  <c r="P16" i="1"/>
  <c r="S16" i="1"/>
  <c r="I7" i="1"/>
  <c r="O7" i="1" s="1"/>
  <c r="AJ6" i="1"/>
  <c r="J8" i="1"/>
  <c r="S8" i="1" s="1"/>
  <c r="O8" i="1"/>
  <c r="I9" i="1"/>
  <c r="O9" i="1" s="1"/>
  <c r="L9" i="1"/>
  <c r="O5" i="1"/>
  <c r="O4" i="1" s="1"/>
  <c r="I13" i="1"/>
  <c r="O13" i="1" s="1"/>
  <c r="L13" i="1"/>
  <c r="AE6" i="1"/>
  <c r="L7" i="1"/>
  <c r="T11" i="1"/>
  <c r="O12" i="1"/>
  <c r="O14" i="1"/>
  <c r="O19" i="1"/>
  <c r="S20" i="1"/>
  <c r="Q21" i="1"/>
  <c r="T22" i="1"/>
  <c r="I23" i="1"/>
  <c r="R23" i="1" s="1"/>
  <c r="S25" i="1"/>
  <c r="P28" i="1"/>
  <c r="O32" i="1"/>
  <c r="J32" i="1"/>
  <c r="P32" i="1" s="1"/>
  <c r="L35" i="1"/>
  <c r="R36" i="1"/>
  <c r="L40" i="1"/>
  <c r="J41" i="1"/>
  <c r="M42" i="1"/>
  <c r="J45" i="1"/>
  <c r="S45" i="1" s="1"/>
  <c r="P45" i="1"/>
  <c r="I47" i="1"/>
  <c r="R48" i="1"/>
  <c r="T48" i="1"/>
  <c r="O50" i="1"/>
  <c r="J51" i="1"/>
  <c r="S51" i="1" s="1"/>
  <c r="L51" i="1"/>
  <c r="L52" i="1"/>
  <c r="N56" i="1"/>
  <c r="AS55" i="1"/>
  <c r="AW55" i="1"/>
  <c r="W62" i="1"/>
  <c r="W55" i="1" s="1"/>
  <c r="AA62" i="1"/>
  <c r="AA55" i="1" s="1"/>
  <c r="AE62" i="1"/>
  <c r="AE55" i="1" s="1"/>
  <c r="AI62" i="1"/>
  <c r="AI55" i="1" s="1"/>
  <c r="AM62" i="1"/>
  <c r="AM55" i="1" s="1"/>
  <c r="AQ62" i="1"/>
  <c r="AQ55" i="1" s="1"/>
  <c r="AU62" i="1"/>
  <c r="AU55" i="1" s="1"/>
  <c r="AY62" i="1"/>
  <c r="AY55" i="1" s="1"/>
  <c r="BC62" i="1"/>
  <c r="BC55" i="1" s="1"/>
  <c r="BG62" i="1"/>
  <c r="BG55" i="1" s="1"/>
  <c r="P64" i="1"/>
  <c r="J65" i="1"/>
  <c r="S65" i="1" s="1"/>
  <c r="L67" i="1"/>
  <c r="T27" i="1"/>
  <c r="T33" i="1"/>
  <c r="I63" i="1"/>
  <c r="R63" i="1" s="1"/>
  <c r="P67" i="1"/>
  <c r="J67" i="1"/>
  <c r="J26" i="1"/>
  <c r="S26" i="1" s="1"/>
  <c r="O27" i="1"/>
  <c r="R34" i="1"/>
  <c r="Q35" i="1"/>
  <c r="BG37" i="1"/>
  <c r="T41" i="1"/>
  <c r="T43" i="1"/>
  <c r="N45" i="1"/>
  <c r="L45" i="1"/>
  <c r="P48" i="1"/>
  <c r="Q47" i="1"/>
  <c r="N49" i="1"/>
  <c r="J56" i="1"/>
  <c r="S56" i="1" s="1"/>
  <c r="R58" i="1"/>
  <c r="J60" i="1"/>
  <c r="S60" i="1" s="1"/>
  <c r="Q65" i="1"/>
  <c r="M67" i="1"/>
  <c r="R68" i="1"/>
  <c r="R67" i="1" s="1"/>
  <c r="O68" i="1"/>
  <c r="O67" i="1" s="1"/>
  <c r="S17" i="1"/>
  <c r="T19" i="1"/>
  <c r="P22" i="1"/>
  <c r="I24" i="1"/>
  <c r="R24" i="1" s="1"/>
  <c r="O26" i="1"/>
  <c r="L28" i="1"/>
  <c r="R31" i="1"/>
  <c r="BF37" i="1"/>
  <c r="N38" i="1"/>
  <c r="AN38" i="1"/>
  <c r="AN37" i="1" s="1"/>
  <c r="J39" i="1"/>
  <c r="P39" i="1" s="1"/>
  <c r="I41" i="1"/>
  <c r="N47" i="1"/>
  <c r="L47" i="1"/>
  <c r="M49" i="1"/>
  <c r="R50" i="1"/>
  <c r="N52" i="1"/>
  <c r="Q54" i="1"/>
  <c r="Q52" i="1" s="1"/>
  <c r="K60" i="1"/>
  <c r="T60" i="1" s="1"/>
  <c r="N60" i="1"/>
  <c r="Q61" i="1"/>
  <c r="Q64" i="1"/>
  <c r="M65" i="1"/>
  <c r="Q66" i="1"/>
  <c r="N68" i="1"/>
  <c r="AF67" i="1"/>
  <c r="K68" i="1"/>
  <c r="N69" i="1"/>
  <c r="P70" i="1"/>
  <c r="J69" i="1"/>
  <c r="S70" i="1"/>
  <c r="S69" i="1" s="1"/>
  <c r="O72" i="1"/>
  <c r="L73" i="1"/>
  <c r="N73" i="1"/>
  <c r="Q74" i="1"/>
  <c r="Q73" i="1" s="1"/>
  <c r="T78" i="1"/>
  <c r="Q79" i="1"/>
  <c r="Q77" i="1" s="1"/>
  <c r="O80" i="1"/>
  <c r="K81" i="1"/>
  <c r="T81" i="1" s="1"/>
  <c r="L81" i="1"/>
  <c r="N84" i="1"/>
  <c r="K90" i="1"/>
  <c r="N90" i="1"/>
  <c r="L90" i="1"/>
  <c r="L94" i="1"/>
  <c r="M94" i="1"/>
  <c r="N94" i="1"/>
  <c r="O96" i="1"/>
  <c r="R98" i="1"/>
  <c r="K99" i="1"/>
  <c r="T99" i="1" s="1"/>
  <c r="K101" i="1"/>
  <c r="T101" i="1" s="1"/>
  <c r="N101" i="1"/>
  <c r="J102" i="1"/>
  <c r="P102" i="1" s="1"/>
  <c r="M81" i="1"/>
  <c r="Q81" i="1"/>
  <c r="Q90" i="1"/>
  <c r="Q102" i="1"/>
  <c r="M69" i="1"/>
  <c r="Q69" i="1"/>
  <c r="M77" i="1"/>
  <c r="P78" i="1"/>
  <c r="P77" i="1" s="1"/>
  <c r="I84" i="1"/>
  <c r="J88" i="1"/>
  <c r="Z86" i="1"/>
  <c r="AT86" i="1"/>
  <c r="P88" i="1"/>
  <c r="O90" i="1"/>
  <c r="F94" i="1"/>
  <c r="F93" i="1" s="1"/>
  <c r="F86" i="1" s="1"/>
  <c r="T100" i="1"/>
  <c r="K69" i="1"/>
  <c r="O76" i="1"/>
  <c r="N77" i="1"/>
  <c r="N81" i="1"/>
  <c r="J84" i="1"/>
  <c r="S84" i="1" s="1"/>
  <c r="Q84" i="1"/>
  <c r="P85" i="1"/>
  <c r="P84" i="1" s="1"/>
  <c r="U87" i="1"/>
  <c r="R89" i="1"/>
  <c r="M90" i="1"/>
  <c r="K94" i="1"/>
  <c r="T94" i="1" s="1"/>
  <c r="R96" i="1"/>
  <c r="S98" i="1"/>
  <c r="J99" i="1"/>
  <c r="S99" i="1" s="1"/>
  <c r="L99" i="1"/>
  <c r="M99" i="1"/>
  <c r="O101" i="1"/>
  <c r="N4" i="1"/>
  <c r="S5" i="1"/>
  <c r="J4" i="1"/>
  <c r="P5" i="1"/>
  <c r="P4" i="1" s="1"/>
  <c r="M4" i="1"/>
  <c r="R4" i="1"/>
  <c r="E6" i="1"/>
  <c r="AG6" i="1"/>
  <c r="S10" i="1"/>
  <c r="R12" i="1"/>
  <c r="R14" i="1"/>
  <c r="T16" i="1"/>
  <c r="T17" i="1"/>
  <c r="S18" i="1"/>
  <c r="T20" i="1"/>
  <c r="R21" i="1"/>
  <c r="T23" i="1"/>
  <c r="R25" i="1"/>
  <c r="R29" i="1"/>
  <c r="T32" i="1"/>
  <c r="T34" i="1"/>
  <c r="S35" i="1"/>
  <c r="O36" i="1"/>
  <c r="S36" i="1"/>
  <c r="T40" i="1"/>
  <c r="P54" i="1"/>
  <c r="R11" i="1"/>
  <c r="R19" i="1"/>
  <c r="R27" i="1"/>
  <c r="O29" i="1"/>
  <c r="Q40" i="1"/>
  <c r="K6" i="1"/>
  <c r="T6" i="1" s="1"/>
  <c r="T7" i="1"/>
  <c r="S11" i="1"/>
  <c r="T12" i="1"/>
  <c r="T14" i="1"/>
  <c r="S15" i="1"/>
  <c r="R16" i="1"/>
  <c r="R17" i="1"/>
  <c r="S19" i="1"/>
  <c r="T25" i="1"/>
  <c r="T26" i="1"/>
  <c r="S27" i="1"/>
  <c r="T28" i="1"/>
  <c r="T29" i="1"/>
  <c r="R32" i="1"/>
  <c r="F38" i="1"/>
  <c r="F37" i="1" s="1"/>
  <c r="S54" i="1"/>
  <c r="J52" i="1"/>
  <c r="S52" i="1" s="1"/>
  <c r="Q42" i="1"/>
  <c r="O43" i="1"/>
  <c r="O44" i="1"/>
  <c r="O48" i="1"/>
  <c r="Q50" i="1"/>
  <c r="I51" i="1"/>
  <c r="O51" i="1" s="1"/>
  <c r="M51" i="1"/>
  <c r="Q51" i="1"/>
  <c r="L56" i="1"/>
  <c r="Q58" i="1"/>
  <c r="Q59" i="1"/>
  <c r="M60" i="1"/>
  <c r="E62" i="1"/>
  <c r="E55" i="1" s="1"/>
  <c r="M63" i="1"/>
  <c r="O42" i="1"/>
  <c r="T46" i="1"/>
  <c r="E47" i="1"/>
  <c r="J47" i="1"/>
  <c r="S50" i="1"/>
  <c r="AB52" i="1"/>
  <c r="M52" i="1" s="1"/>
  <c r="R54" i="1"/>
  <c r="S58" i="1"/>
  <c r="S59" i="1"/>
  <c r="I60" i="1"/>
  <c r="O61" i="1"/>
  <c r="N63" i="1"/>
  <c r="P73" i="1"/>
  <c r="K45" i="1"/>
  <c r="T45" i="1" s="1"/>
  <c r="AS49" i="1"/>
  <c r="AS37" i="1" s="1"/>
  <c r="I52" i="1"/>
  <c r="K56" i="1"/>
  <c r="P61" i="1"/>
  <c r="S61" i="1"/>
  <c r="L84" i="1"/>
  <c r="R64" i="1"/>
  <c r="R66" i="1"/>
  <c r="T70" i="1"/>
  <c r="T69" i="1" s="1"/>
  <c r="T71" i="1"/>
  <c r="T72" i="1"/>
  <c r="R74" i="1"/>
  <c r="R73" i="1" s="1"/>
  <c r="S75" i="1"/>
  <c r="T76" i="1"/>
  <c r="R79" i="1"/>
  <c r="S80" i="1"/>
  <c r="J82" i="1"/>
  <c r="O82" i="1"/>
  <c r="BF62" i="1"/>
  <c r="BF55" i="1" s="1"/>
  <c r="L63" i="1"/>
  <c r="O64" i="1"/>
  <c r="R65" i="1"/>
  <c r="O66" i="1"/>
  <c r="S66" i="1"/>
  <c r="H67" i="1"/>
  <c r="H62" i="1" s="1"/>
  <c r="H55" i="1" s="1"/>
  <c r="I73" i="1"/>
  <c r="O74" i="1"/>
  <c r="S74" i="1"/>
  <c r="S73" i="1" s="1"/>
  <c r="T75" i="1"/>
  <c r="J77" i="1"/>
  <c r="S77" i="1" s="1"/>
  <c r="R78" i="1"/>
  <c r="O79" i="1"/>
  <c r="S79" i="1"/>
  <c r="T80" i="1"/>
  <c r="I81" i="1"/>
  <c r="I67" i="1"/>
  <c r="J73" i="1"/>
  <c r="K77" i="1"/>
  <c r="T77" i="1" s="1"/>
  <c r="M82" i="1"/>
  <c r="M88" i="1"/>
  <c r="Q89" i="1"/>
  <c r="Q88" i="1" s="1"/>
  <c r="P91" i="1"/>
  <c r="P90" i="1" s="1"/>
  <c r="Q96" i="1"/>
  <c r="Q94" i="1" s="1"/>
  <c r="Q98" i="1"/>
  <c r="O100" i="1"/>
  <c r="S92" i="1"/>
  <c r="R102" i="1"/>
  <c r="T85" i="1"/>
  <c r="O89" i="1"/>
  <c r="S89" i="1"/>
  <c r="R91" i="1"/>
  <c r="T92" i="1"/>
  <c r="S96" i="1"/>
  <c r="T97" i="1"/>
  <c r="K84" i="1"/>
  <c r="T84" i="1" s="1"/>
  <c r="I90" i="1"/>
  <c r="T38" i="1" l="1"/>
  <c r="T37" i="1" s="1"/>
  <c r="K37" i="1"/>
  <c r="N37" i="1"/>
  <c r="AB37" i="1"/>
  <c r="E37" i="1"/>
  <c r="BF86" i="1"/>
  <c r="AP86" i="1"/>
  <c r="P42" i="1"/>
  <c r="AG86" i="1"/>
  <c r="J87" i="1"/>
  <c r="S87" i="1" s="1"/>
  <c r="AW3" i="1"/>
  <c r="R97" i="1"/>
  <c r="AX86" i="1"/>
  <c r="AX3" i="1" s="1"/>
  <c r="AH86" i="1"/>
  <c r="AH3" i="1" s="1"/>
  <c r="O40" i="1"/>
  <c r="BA86" i="1"/>
  <c r="BA3" i="1" s="1"/>
  <c r="AK86" i="1"/>
  <c r="AK3" i="1" s="1"/>
  <c r="AV86" i="1"/>
  <c r="AV3" i="1" s="1"/>
  <c r="I94" i="1"/>
  <c r="R94" i="1" s="1"/>
  <c r="AM86" i="1"/>
  <c r="AM3" i="1" s="1"/>
  <c r="AZ86" i="1"/>
  <c r="AZ3" i="1" s="1"/>
  <c r="AS86" i="1"/>
  <c r="AS3" i="1" s="1"/>
  <c r="AC86" i="1"/>
  <c r="AC3" i="1" s="1"/>
  <c r="P21" i="1"/>
  <c r="AB86" i="1"/>
  <c r="AB55" i="1"/>
  <c r="M55" i="1" s="1"/>
  <c r="L62" i="1"/>
  <c r="AJ86" i="1"/>
  <c r="AJ3" i="1" s="1"/>
  <c r="BE86" i="1"/>
  <c r="AO86" i="1"/>
  <c r="AO3" i="1" s="1"/>
  <c r="Y86" i="1"/>
  <c r="Y3" i="1" s="1"/>
  <c r="S32" i="1"/>
  <c r="AU86" i="1"/>
  <c r="AU3" i="1" s="1"/>
  <c r="U86" i="1"/>
  <c r="U3" i="1" s="1"/>
  <c r="W3" i="1"/>
  <c r="AF86" i="1"/>
  <c r="O99" i="1"/>
  <c r="O94" i="1"/>
  <c r="O45" i="1"/>
  <c r="O28" i="1"/>
  <c r="AN86" i="1"/>
  <c r="AN3" i="1" s="1"/>
  <c r="X86" i="1"/>
  <c r="X3" i="1" s="1"/>
  <c r="N93" i="1"/>
  <c r="V86" i="1"/>
  <c r="V3" i="1" s="1"/>
  <c r="AD86" i="1"/>
  <c r="AD3" i="1" s="1"/>
  <c r="BD86" i="1"/>
  <c r="BD3" i="1" s="1"/>
  <c r="P26" i="1"/>
  <c r="I38" i="1"/>
  <c r="P69" i="1"/>
  <c r="R39" i="1"/>
  <c r="P47" i="1"/>
  <c r="R13" i="1"/>
  <c r="S88" i="1"/>
  <c r="P65" i="1"/>
  <c r="P63" i="1" s="1"/>
  <c r="O10" i="1"/>
  <c r="AQ86" i="1"/>
  <c r="AQ3" i="1" s="1"/>
  <c r="Q87" i="1"/>
  <c r="AL3" i="1"/>
  <c r="Q60" i="1"/>
  <c r="AY86" i="1"/>
  <c r="AY3" i="1" s="1"/>
  <c r="AE86" i="1"/>
  <c r="AE3" i="1" s="1"/>
  <c r="AP3" i="1"/>
  <c r="BB3" i="1"/>
  <c r="L93" i="1"/>
  <c r="N87" i="1"/>
  <c r="F3" i="1"/>
  <c r="AT3" i="1"/>
  <c r="Q99" i="1"/>
  <c r="Q93" i="1" s="1"/>
  <c r="S31" i="1"/>
  <c r="P51" i="1"/>
  <c r="P49" i="1" s="1"/>
  <c r="R35" i="1"/>
  <c r="O69" i="1"/>
  <c r="J49" i="1"/>
  <c r="S49" i="1" s="1"/>
  <c r="S13" i="1"/>
  <c r="M93" i="1"/>
  <c r="H86" i="1"/>
  <c r="H3" i="1" s="1"/>
  <c r="BG86" i="1"/>
  <c r="Q63" i="1"/>
  <c r="M6" i="1"/>
  <c r="O73" i="1"/>
  <c r="L38" i="1"/>
  <c r="AR86" i="1"/>
  <c r="AR3" i="1" s="1"/>
  <c r="BC86" i="1"/>
  <c r="BC3" i="1" s="1"/>
  <c r="AI86" i="1"/>
  <c r="AI3" i="1" s="1"/>
  <c r="Z3" i="1"/>
  <c r="AA86" i="1"/>
  <c r="O81" i="1"/>
  <c r="AG3" i="1"/>
  <c r="P94" i="1"/>
  <c r="Q6" i="1"/>
  <c r="M38" i="1"/>
  <c r="M37" i="1" s="1"/>
  <c r="Q101" i="1"/>
  <c r="J63" i="1"/>
  <c r="S63" i="1" s="1"/>
  <c r="P99" i="1"/>
  <c r="O77" i="1"/>
  <c r="M87" i="1"/>
  <c r="M62" i="1"/>
  <c r="Q49" i="1"/>
  <c r="J6" i="1"/>
  <c r="S6" i="1" s="1"/>
  <c r="R7" i="1"/>
  <c r="P8" i="1"/>
  <c r="S9" i="1"/>
  <c r="R9" i="1"/>
  <c r="I6" i="1"/>
  <c r="R6" i="1" s="1"/>
  <c r="O88" i="1"/>
  <c r="O87" i="1" s="1"/>
  <c r="P87" i="1"/>
  <c r="P60" i="1"/>
  <c r="O52" i="1"/>
  <c r="K93" i="1"/>
  <c r="T93" i="1" s="1"/>
  <c r="O84" i="1"/>
  <c r="L55" i="1"/>
  <c r="P101" i="1"/>
  <c r="L87" i="1"/>
  <c r="P56" i="1"/>
  <c r="O49" i="1"/>
  <c r="O41" i="1"/>
  <c r="Q38" i="1"/>
  <c r="P52" i="1"/>
  <c r="R41" i="1"/>
  <c r="O24" i="1"/>
  <c r="S94" i="1"/>
  <c r="S102" i="1"/>
  <c r="J101" i="1"/>
  <c r="S101" i="1" s="1"/>
  <c r="S39" i="1"/>
  <c r="J38" i="1"/>
  <c r="J37" i="1" s="1"/>
  <c r="S41" i="1"/>
  <c r="P41" i="1"/>
  <c r="P38" i="1" s="1"/>
  <c r="Q56" i="1"/>
  <c r="T90" i="1"/>
  <c r="K87" i="1"/>
  <c r="T68" i="1"/>
  <c r="T67" i="1" s="1"/>
  <c r="K67" i="1"/>
  <c r="K62" i="1" s="1"/>
  <c r="K55" i="1" s="1"/>
  <c r="T55" i="1" s="1"/>
  <c r="O23" i="1"/>
  <c r="O56" i="1"/>
  <c r="E86" i="1"/>
  <c r="N67" i="1"/>
  <c r="N62" i="1" s="1"/>
  <c r="AF62" i="1"/>
  <c r="AF55" i="1" s="1"/>
  <c r="N55" i="1" s="1"/>
  <c r="Q68" i="1"/>
  <c r="Q67" i="1" s="1"/>
  <c r="J93" i="1"/>
  <c r="R84" i="1"/>
  <c r="R81" i="1"/>
  <c r="J81" i="1"/>
  <c r="S81" i="1" s="1"/>
  <c r="P82" i="1"/>
  <c r="P81" i="1" s="1"/>
  <c r="S82" i="1"/>
  <c r="R60" i="1"/>
  <c r="S47" i="1"/>
  <c r="O47" i="1"/>
  <c r="L6" i="1"/>
  <c r="I87" i="1"/>
  <c r="R90" i="1"/>
  <c r="I62" i="1"/>
  <c r="R52" i="1"/>
  <c r="L49" i="1"/>
  <c r="R47" i="1"/>
  <c r="O63" i="1"/>
  <c r="T56" i="1"/>
  <c r="O60" i="1"/>
  <c r="I49" i="1"/>
  <c r="R51" i="1"/>
  <c r="S4" i="1"/>
  <c r="P37" i="1" l="1"/>
  <c r="Q37" i="1"/>
  <c r="L37" i="1"/>
  <c r="R38" i="1"/>
  <c r="I37" i="1"/>
  <c r="O38" i="1"/>
  <c r="O37" i="1" s="1"/>
  <c r="I93" i="1"/>
  <c r="R93" i="1" s="1"/>
  <c r="O93" i="1"/>
  <c r="O86" i="1" s="1"/>
  <c r="P6" i="1"/>
  <c r="L86" i="1"/>
  <c r="P62" i="1"/>
  <c r="P55" i="1" s="1"/>
  <c r="O6" i="1"/>
  <c r="Q62" i="1"/>
  <c r="Q55" i="1" s="1"/>
  <c r="M86" i="1"/>
  <c r="P93" i="1"/>
  <c r="P86" i="1" s="1"/>
  <c r="AA3" i="1"/>
  <c r="J62" i="1"/>
  <c r="S62" i="1" s="1"/>
  <c r="T62" i="1"/>
  <c r="Q86" i="1"/>
  <c r="L3" i="1"/>
  <c r="O62" i="1"/>
  <c r="O55" i="1" s="1"/>
  <c r="N86" i="1"/>
  <c r="AF3" i="1"/>
  <c r="S38" i="1"/>
  <c r="S37" i="1" s="1"/>
  <c r="S93" i="1"/>
  <c r="J86" i="1"/>
  <c r="S86" i="1" s="1"/>
  <c r="K86" i="1"/>
  <c r="T86" i="1" s="1"/>
  <c r="T87" i="1"/>
  <c r="R87" i="1"/>
  <c r="R62" i="1"/>
  <c r="AB3" i="1"/>
  <c r="M3" i="1" s="1"/>
  <c r="R49" i="1"/>
  <c r="E3" i="1"/>
  <c r="I55" i="1"/>
  <c r="R37" i="1" l="1"/>
  <c r="I86" i="1"/>
  <c r="R86" i="1" s="1"/>
  <c r="K3" i="1"/>
  <c r="T3" i="1" s="1"/>
  <c r="J55" i="1"/>
  <c r="J3" i="1" s="1"/>
  <c r="S3" i="1" s="1"/>
  <c r="O3" i="1"/>
  <c r="Q3" i="1"/>
  <c r="P3" i="1"/>
  <c r="R55" i="1"/>
  <c r="I3" i="1" l="1"/>
  <c r="S55" i="1"/>
  <c r="R3" i="1"/>
</calcChain>
</file>

<file path=xl/comments1.xml><?xml version="1.0" encoding="utf-8"?>
<comments xmlns="http://schemas.openxmlformats.org/spreadsheetml/2006/main">
  <authors>
    <author>Setor Contabil</author>
    <author/>
  </authors>
  <commentList>
    <comment ref="H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OUTRAS FONTES</t>
        </r>
      </text>
    </comment>
    <comment ref="D3" authorId="1">
      <text>
        <r>
          <rPr>
            <sz val="11"/>
            <color rgb="FF000000"/>
            <rFont val="Calibri"/>
            <family val="2"/>
          </rPr>
          <t>Incluir o valor da MATRIZ PREVISTO PARA O CAMPUS
======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FECHADO
descontar valores descontados/empenhados na reitoria - L66 e L71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RAP2020= 2.334.448,14
RAP2019= 3578,54 EBC
RAP2019=412,50 W&amp;V
T.2.338.439,18-FECHADO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saldo da conta 622920101=115932,60 (maio/21) - empenho 21NE000018=880,00(fonte 0100)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Saldo da conta 6311000000 - rap2019=4.865,14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COMP.11-2021 E 12-2021-Juliano estava de férias e atestou somente em janeiro2021
</t>
        </r>
      </text>
    </comment>
    <comment ref="AB1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COMP.01-2021
</t>
        </r>
      </text>
    </comment>
    <comment ref="AD1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COMP.02-2021</t>
        </r>
      </text>
    </comment>
    <comment ref="AG1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COMP.03-2021 E 04/2021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339039-79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reitoria</t>
        </r>
      </text>
    </comment>
    <comment ref="AG2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desc.até maio/21 na reitoria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Laboratórios de Ensino, Pesquisa, Extensão e Produção (LEPEPs)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NC 09-PARA REITORIA-Empenhar ref.aquisição de 10totens p/alcool gel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enviado NC para Reitoria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DELFOS ENGENHARIA
</t>
        </r>
      </text>
    </comment>
    <comment ref="AJ35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MULTA E JUROS S/FATURA DA ENERGIA ELETRICA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contrato finaliza em setembro e não pode ser prorrogado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contrato finaliza em setembro e não pode ser prorrogado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339039-83</t>
        </r>
      </text>
    </comment>
    <comment ref="D43" authorId="1">
      <text>
        <r>
          <rPr>
            <sz val="11"/>
            <color rgb="FF000000"/>
            <rFont val="Calibri"/>
            <family val="2"/>
          </rPr>
          <t>======
ID#AAAAL2MisYI
Reitoria desconta do orçamento.
(Reserva Institucional 1%)
(até maio R$8.764,11)</t>
        </r>
      </text>
    </comment>
    <comment ref="D44" authorId="1">
      <text>
        <r>
          <rPr>
            <sz val="11"/>
            <color rgb="FF000000"/>
            <rFont val="Calibri"/>
            <family val="2"/>
          </rPr>
          <t>======
ID#AAAAL2MisYQ
Gilson Parodes    (2021-03-26 01:22:38)
(Reitoria) 
(Reserva Institucional 1%)
(R$ X,XX)</t>
        </r>
      </text>
    </comment>
    <comment ref="D45" authorId="1">
      <text>
        <r>
          <rPr>
            <sz val="11"/>
            <color rgb="FF000000"/>
            <rFont val="Calibri"/>
            <family val="2"/>
          </rPr>
          <t>======
descontado do orçamento na reitoria
(Reserva Institucional 1%)
(até maio R$8.764,11)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NC10-PARA REITORIA-REFERENTE CURSO APOSENTADORIA PARA ANA LORENZON</t>
        </r>
      </text>
    </comment>
    <comment ref="D53" authorId="1">
      <text>
        <r>
          <rPr>
            <sz val="11"/>
            <color rgb="FF000000"/>
            <rFont val="Calibri"/>
            <family val="2"/>
          </rPr>
          <t>======
ID#AAAAL2Miso8
Gilson Parodes    (2021-03-26 01:33:15)
(Reitoria) 
(Reserva Institucional 2,5%)
(R$ X,XX) 
(Despesa de capital)</t>
        </r>
      </text>
    </comment>
    <comment ref="D60" authorId="1">
      <text>
        <r>
          <rPr>
            <sz val="11"/>
            <color rgb="FF000000"/>
            <rFont val="Calibri"/>
            <family val="2"/>
          </rPr>
          <t>======
ID#AAAAL2Mispc
Gilson Parodes    (2021-03-26 01:35:50)
(Reserva Institucional 1%)
(R$ X,XX)</t>
        </r>
      </text>
    </comment>
    <comment ref="AF68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RP03</t>
        </r>
      </text>
    </comment>
    <comment ref="D77" authorId="1">
      <text>
        <r>
          <rPr>
            <sz val="11"/>
            <color rgb="FF000000"/>
            <rFont val="Calibri"/>
            <family val="2"/>
          </rPr>
          <t>======
ID#AAAAL2MisqI
Gilson Parodes    (2021-03-26 01:40:31)
(Reserva Institucional 1,5%)
(R$ X,XX)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GD Distribuidora de Livros
</t>
        </r>
      </text>
    </comment>
    <comment ref="D88" authorId="1">
      <text>
        <r>
          <rPr>
            <sz val="11"/>
            <color rgb="FF000000"/>
            <rFont val="Calibri"/>
            <family val="2"/>
          </rPr>
          <t>======
ID#AAAAL2Misqw
Gilson Parodes    (2021-03-26 01:45:44)
(Reserva Institucional 1,5%)
(R$ X,XX)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NC 10- PARA REITORIA - EDITAL 224-2021-DPPGI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descontado ref. estagiária Giorgia e Karen- até maio R$ 5.254,16, correto R$ 12.478,68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FALTOU DESCONTAR 7224,52 DE UMA ESTAGIARIA</t>
        </r>
      </text>
    </comment>
    <comment ref="AB98" authorId="0">
      <text>
        <r>
          <rPr>
            <b/>
            <sz val="9"/>
            <color indexed="81"/>
            <rFont val="Tahoma"/>
            <family val="2"/>
          </rPr>
          <t>Setor Contabil:</t>
        </r>
        <r>
          <rPr>
            <sz val="9"/>
            <color indexed="81"/>
            <rFont val="Tahoma"/>
            <family val="2"/>
          </rPr>
          <t xml:space="preserve">
EMPENHOS ANULADOS
</t>
        </r>
      </text>
    </comment>
  </commentList>
</comments>
</file>

<file path=xl/sharedStrings.xml><?xml version="1.0" encoding="utf-8"?>
<sst xmlns="http://schemas.openxmlformats.org/spreadsheetml/2006/main" count="302" uniqueCount="223">
  <si>
    <t>PLANILHA DE PLANEJAMENTO E CONTROLE DA EXECUÇÃO ORÇAMENTÁRIA</t>
  </si>
  <si>
    <t>VALOR EMPENHADO</t>
  </si>
  <si>
    <t>VALOR LIQUIDADO</t>
  </si>
  <si>
    <t xml:space="preserve">VALOR PAGO </t>
  </si>
  <si>
    <t>SALDO (DISPONÍVEL NO EMPENHO)</t>
  </si>
  <si>
    <t>PERCENTUAL GASTO EM RELAÇÃO AO EMPENHADO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</si>
  <si>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</si>
  <si>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</si>
  <si>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</si>
  <si>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</si>
  <si>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</si>
  <si>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</si>
  <si>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</si>
  <si>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</si>
  <si>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</si>
  <si>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</si>
  <si>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</si>
  <si>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</si>
  <si>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PAGAMENTOS REALIZADOS NO EXERCÍCIO</t>
  </si>
  <si>
    <t>PLANO DE AÇÃO 2021</t>
  </si>
  <si>
    <t>DESCRIÇÃO DA AÇÃO</t>
  </si>
  <si>
    <t>OUTROS</t>
  </si>
  <si>
    <t>MATRIZ</t>
  </si>
  <si>
    <t>RAP</t>
  </si>
  <si>
    <t>RAP ANULADO</t>
  </si>
  <si>
    <t>MATRIZ
(empenhado)</t>
  </si>
  <si>
    <t>OUTROS 
(empenhado)</t>
  </si>
  <si>
    <t>MATRIZ
(emp)</t>
  </si>
  <si>
    <t>OUTROS 
(emp.)</t>
  </si>
  <si>
    <t>NE ANO</t>
  </si>
  <si>
    <t>NE RAP</t>
  </si>
  <si>
    <t>RUBRICA</t>
  </si>
  <si>
    <t>TOTAL</t>
  </si>
  <si>
    <t>DG - DIREÇÃO GERAL</t>
  </si>
  <si>
    <t>33.90.14-14</t>
  </si>
  <si>
    <t>Deslocamento - Diárias a servidores</t>
  </si>
  <si>
    <t>DAD - DIRETORIA DE ADMINISTRAÇÃO</t>
  </si>
  <si>
    <t>2021NE000002</t>
  </si>
  <si>
    <t>2020NE800124</t>
  </si>
  <si>
    <t>33.90.39-43</t>
  </si>
  <si>
    <t>2020NE800011-2020NE800236</t>
  </si>
  <si>
    <t>33.90.39-47</t>
  </si>
  <si>
    <t>2021NE000010</t>
  </si>
  <si>
    <t>2020NE800121</t>
  </si>
  <si>
    <t>33.90.37-03</t>
  </si>
  <si>
    <t>2021NE000007</t>
  </si>
  <si>
    <t>2020NE800120</t>
  </si>
  <si>
    <t>33.90.37-02</t>
  </si>
  <si>
    <t>2021NE000008</t>
  </si>
  <si>
    <t>2020NE800122</t>
  </si>
  <si>
    <t>33.90.37-01</t>
  </si>
  <si>
    <t>2021NE000041</t>
  </si>
  <si>
    <t>2019NE800015</t>
  </si>
  <si>
    <t>33.90.39-78</t>
  </si>
  <si>
    <t>2021NE000009</t>
  </si>
  <si>
    <t>2020NE800118</t>
  </si>
  <si>
    <t>2021NE000006</t>
  </si>
  <si>
    <t>2020NE800123</t>
  </si>
  <si>
    <t>2020NE800190</t>
  </si>
  <si>
    <t>33.90.39-17</t>
  </si>
  <si>
    <t>2021NE000040</t>
  </si>
  <si>
    <t>33.90.39-16</t>
  </si>
  <si>
    <t>2020NE800168</t>
  </si>
  <si>
    <t>Manutenção e conservação de bens móveis- hidráulica-reparos</t>
  </si>
  <si>
    <t>2021NE000035</t>
  </si>
  <si>
    <t>Manutenção do serviço de detetização</t>
  </si>
  <si>
    <t>2020NE800240</t>
  </si>
  <si>
    <t>44.90.52-99</t>
  </si>
  <si>
    <t>Aquisição de equipamentos de uso geral</t>
  </si>
  <si>
    <t>2020NE800172-2020NE800173</t>
  </si>
  <si>
    <t>44.90.52-42</t>
  </si>
  <si>
    <t>Aquisição de mobiliário</t>
  </si>
  <si>
    <t>33.90.30-01</t>
  </si>
  <si>
    <t>Manutenção de frotas - Combustível</t>
  </si>
  <si>
    <t>2021NE000004</t>
  </si>
  <si>
    <t>2020NE800134</t>
  </si>
  <si>
    <t>2021NE000039</t>
  </si>
  <si>
    <t>33.90.39-69</t>
  </si>
  <si>
    <t>2020NE800131-2020NE800136-2020NE800137-2020NE800139-2020NE800144-2020NE800146</t>
  </si>
  <si>
    <t>33.90.30-99</t>
  </si>
  <si>
    <t>2021NE000001+NE000017+NE000019+NE000020+NE000021+NE000022+NE000024+NE000025+NE000026+NE000027+NE000028+NE000029+NE000030+NE000031+NE000032+NE000033</t>
  </si>
  <si>
    <t>2020NE800153-2020NE800155-2020NE800170</t>
  </si>
  <si>
    <t>Material consumo LEPEPs  Produção</t>
  </si>
  <si>
    <t>33.90.30-16</t>
  </si>
  <si>
    <t>2020NE800177</t>
  </si>
  <si>
    <t>44.90.51-91</t>
  </si>
  <si>
    <t>2020NE800193</t>
  </si>
  <si>
    <t>2020NE800019</t>
  </si>
  <si>
    <t>33.90.39-05</t>
  </si>
  <si>
    <t>Serv.Tec.Profissionais-Projeto de Plano de Prevenção contra incêndio</t>
  </si>
  <si>
    <t>2020ne800181</t>
  </si>
  <si>
    <t>2021NE000016-2021NE000015</t>
  </si>
  <si>
    <t>33.90.47-16</t>
  </si>
  <si>
    <t>Juros e Multa / taxa e afins (isbn- art)</t>
  </si>
  <si>
    <t>2021NE000014</t>
  </si>
  <si>
    <t>33.90.33-99</t>
  </si>
  <si>
    <t>Reembolso</t>
  </si>
  <si>
    <t>DPDI - DIRETORIA DE PLANEJ E DESENV INSTITUCIONAL</t>
  </si>
  <si>
    <t>GERAL</t>
  </si>
  <si>
    <t>21NE000037</t>
  </si>
  <si>
    <t>2020NE800068; 2020ne800069</t>
  </si>
  <si>
    <t>33.90.39-58</t>
  </si>
  <si>
    <t>2021NE000011</t>
  </si>
  <si>
    <t>2020NE800126</t>
  </si>
  <si>
    <t>33.90.40-13</t>
  </si>
  <si>
    <t>2021NE000012</t>
  </si>
  <si>
    <t>2020NE800125</t>
  </si>
  <si>
    <t>2020NE800119</t>
  </si>
  <si>
    <t>33.90.40-16</t>
  </si>
  <si>
    <t>PIIQP (reserva institucional  1%=21.187,92)</t>
  </si>
  <si>
    <t>PIIQPPE (reserva institucional  1%=21.187,92)</t>
  </si>
  <si>
    <t>PID (reserva Institucional 1%= R$ 21.187,92)</t>
  </si>
  <si>
    <t>Material de consumo</t>
  </si>
  <si>
    <t>33.90.36-28</t>
  </si>
  <si>
    <t>CAPACITAÇÃO DE SERVIDORES</t>
  </si>
  <si>
    <t>Diárias a servidores</t>
  </si>
  <si>
    <t>PROCESSO SELETIVO</t>
  </si>
  <si>
    <t>33.90.39-63</t>
  </si>
  <si>
    <t>Processo Seletivo - serviços gráficos</t>
  </si>
  <si>
    <t>2021NE000036</t>
  </si>
  <si>
    <t>2020NE800176-2020NE800180-2019NE800012</t>
  </si>
  <si>
    <t>33.90.39-90</t>
  </si>
  <si>
    <t>EBC</t>
  </si>
  <si>
    <t>TI</t>
  </si>
  <si>
    <t>FUNDO DE TI (reserva instit. 2,5%= 44.219,80) + 10.000,00 INVESTIMENTO</t>
  </si>
  <si>
    <t>2020NE800225+NE800226+NE800227+NE800239</t>
  </si>
  <si>
    <t>44.90.52</t>
  </si>
  <si>
    <r>
      <rPr>
        <sz val="12"/>
        <color rgb="FF0000FF"/>
        <rFont val="Calibri"/>
        <family val="2"/>
      </rPr>
      <t xml:space="preserve">Equipamentos e Material Permanente </t>
    </r>
    <r>
      <rPr>
        <b/>
        <sz val="12"/>
        <color rgb="FF0000FF"/>
        <rFont val="Calibri"/>
        <family val="2"/>
      </rPr>
      <t>(Despesa de capital)</t>
    </r>
  </si>
  <si>
    <t>33.90.30</t>
  </si>
  <si>
    <t>DE - DIRETORIA DE ENSINO</t>
  </si>
  <si>
    <t>21NE000045</t>
  </si>
  <si>
    <t>Locação de software</t>
  </si>
  <si>
    <t>2020NE800133</t>
  </si>
  <si>
    <t>Ações inclusivas - (cuidadores,...)</t>
  </si>
  <si>
    <t>2020NE800235</t>
  </si>
  <si>
    <t>44.90.52-35</t>
  </si>
  <si>
    <t>PROJETOS DE ENSINO (reserva institucional 1%=21.187,92)</t>
  </si>
  <si>
    <t>2021NE000042</t>
  </si>
  <si>
    <t>33.90.18-01</t>
  </si>
  <si>
    <t>Bolsas PROJEN / Monitorias</t>
  </si>
  <si>
    <t>33.90.20-01</t>
  </si>
  <si>
    <t>ASSISTÊNCIA ESTUDANTIL</t>
  </si>
  <si>
    <t xml:space="preserve">5% CUSTEIO DO CAMPUS </t>
  </si>
  <si>
    <t xml:space="preserve">Monitor de Aluno Especial </t>
  </si>
  <si>
    <t>33.90.47-18</t>
  </si>
  <si>
    <t>2019NE800219</t>
  </si>
  <si>
    <t xml:space="preserve">Material Saúde Consumo </t>
  </si>
  <si>
    <t>2020NE800194 A NE800223+NE800192</t>
  </si>
  <si>
    <t>2020NE800241</t>
  </si>
  <si>
    <t>44.90.52.35</t>
  </si>
  <si>
    <t>PNAES</t>
  </si>
  <si>
    <t>2021NE000018</t>
  </si>
  <si>
    <t>33.90.18</t>
  </si>
  <si>
    <t>Auxílios/Bolsa Estudantes (Permanência, Transporte, Eventos e Atleta)</t>
  </si>
  <si>
    <t>33.90.32-05</t>
  </si>
  <si>
    <t>RIP</t>
  </si>
  <si>
    <t>33.90.39-41</t>
  </si>
  <si>
    <t>Fornecimento Alimentação (orçamento)</t>
  </si>
  <si>
    <t>Fornecimento Alimentação (extraorçamentário)</t>
  </si>
  <si>
    <t>FNDE</t>
  </si>
  <si>
    <t xml:space="preserve">Alimentação Escolar </t>
  </si>
  <si>
    <t>Alimentação Escolar (Agricultura Familiar) -chamada Pública</t>
  </si>
  <si>
    <t>Chamada Pública (agricultura Familiar )</t>
  </si>
  <si>
    <t xml:space="preserve">AÇÕES INCLUSIVAS </t>
  </si>
  <si>
    <t xml:space="preserve">Patronal </t>
  </si>
  <si>
    <t>Serviços de seleção e treinamento</t>
  </si>
  <si>
    <t>BIBLIOTECA</t>
  </si>
  <si>
    <t>2020NE800067</t>
  </si>
  <si>
    <t>44.90.52-18</t>
  </si>
  <si>
    <t>Material Permanente (móveis / livros)</t>
  </si>
  <si>
    <t>21NE000043</t>
  </si>
  <si>
    <t>Biblioteca- Etiquetas RFD</t>
  </si>
  <si>
    <t>COORDENAÇÕES EIXOS/CURSOS</t>
  </si>
  <si>
    <t>2020NE800228+NE800229+NE800230</t>
  </si>
  <si>
    <t>Material permanente (equipamentos para laboratório) (NUGEDI, NUGEA)</t>
  </si>
  <si>
    <t>DPEP - DIRETORIA DE PESQUISA, EXTENSÃO E PRODUÇÃO</t>
  </si>
  <si>
    <t xml:space="preserve">PESQUISA </t>
  </si>
  <si>
    <t>PROJETOS DE PESQUISA (reserva 1,5% = 31.781,88)</t>
  </si>
  <si>
    <t xml:space="preserve">Bolsas de Iniciação Científica e Tecn. </t>
  </si>
  <si>
    <t>OUTRAS DESPESAS COM PESQUISA</t>
  </si>
  <si>
    <t>2021NE000005</t>
  </si>
  <si>
    <t xml:space="preserve">Coordenação de Pós Graduação </t>
  </si>
  <si>
    <t>EXTENSÃO</t>
  </si>
  <si>
    <t>PROJETOS DE EXTENSÃO</t>
  </si>
  <si>
    <t>Reserva Extensão - Bolsas/Auxílio ao Pesquisador</t>
  </si>
  <si>
    <t>33.90.36-07</t>
  </si>
  <si>
    <t xml:space="preserve">Estagiários </t>
  </si>
  <si>
    <t>Serviços Gráficos</t>
  </si>
  <si>
    <t>OUTRAS DESPESAS COM EXTENSÃO</t>
  </si>
  <si>
    <t>2020NE800073</t>
  </si>
  <si>
    <t xml:space="preserve">Nugedis </t>
  </si>
  <si>
    <t>PRODUÇÃO</t>
  </si>
  <si>
    <t>2020NE800231 A NE800234</t>
  </si>
  <si>
    <t>Material de Construção</t>
  </si>
  <si>
    <t xml:space="preserve">Energia elétrica </t>
  </si>
  <si>
    <t>Serviços postais, Correios</t>
  </si>
  <si>
    <t>Vigilância Predial (4 postos de trabalho)</t>
  </si>
  <si>
    <t xml:space="preserve">Limpeza </t>
  </si>
  <si>
    <t>Jardinagem</t>
  </si>
  <si>
    <t>Coleta de Resíduos</t>
  </si>
  <si>
    <t>Manutenção predial Infra (1 posto de trabalho)</t>
  </si>
  <si>
    <t>Manutenção Agropecuária (1 posto de trabalho)</t>
  </si>
  <si>
    <t>Manutenção extintores e mangueiras</t>
  </si>
  <si>
    <t xml:space="preserve">Manutenção elétrica </t>
  </si>
  <si>
    <t xml:space="preserve">Manutenção de equipamentos de laboratório </t>
  </si>
  <si>
    <t>Manutenção de maquinários agrícolas</t>
  </si>
  <si>
    <t xml:space="preserve">Publicidade legal em jornais </t>
  </si>
  <si>
    <t xml:space="preserve">Seguro veicular e IPVA </t>
  </si>
  <si>
    <r>
      <t xml:space="preserve">Material de Consumo conservação </t>
    </r>
    <r>
      <rPr>
        <b/>
        <sz val="12"/>
        <color rgb="FF000000"/>
        <rFont val="Calibri"/>
        <family val="2"/>
      </rPr>
      <t/>
    </r>
  </si>
  <si>
    <t xml:space="preserve">Ampliação do Prédio Administrativo - Prédio D </t>
  </si>
  <si>
    <t xml:space="preserve">Reforma do refeitório e rede de gás </t>
  </si>
  <si>
    <t>Serv.Tec.Profissionais-Adequação do lab.de Alimentos</t>
  </si>
  <si>
    <t>Telefonia e Internet - Telefonia Fixa</t>
  </si>
  <si>
    <t>Telefonia e Internet - Link Internet</t>
  </si>
  <si>
    <t>Telefonia e Internet - Manutenção central telefônica</t>
  </si>
  <si>
    <t xml:space="preserve">Manutenção de Impressoras/Outsourcing de Impressão </t>
  </si>
  <si>
    <t xml:space="preserve">Material de Tic Permanente </t>
  </si>
  <si>
    <t>Equipamentos para Áudio-Projetor Multimidia</t>
  </si>
  <si>
    <t>Bolsa Coordenação Pós</t>
  </si>
  <si>
    <t>Material Saúde Consumo (COVID 19)</t>
  </si>
  <si>
    <t>Almoxarifado Virtual</t>
  </si>
  <si>
    <t>Material de expediente</t>
  </si>
  <si>
    <t>Material consumo LEPEPs Ensino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</si>
</sst>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 -416]#,##0.00"/>
  </numFmts>
  <fonts count="35" x14ac:knownFonts="1">
    <font>
      <sz val="11"/>
      <color rgb="FF000000"/>
      <name val="Calibri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rgb="FF9900FF"/>
      <name val="Calibri"/>
      <family val="2"/>
    </font>
    <font>
      <sz val="12"/>
      <name val="Calibri"/>
      <family val="2"/>
    </font>
    <font>
      <sz val="11"/>
      <color rgb="FF444444"/>
      <name val="Calibri"/>
      <family val="2"/>
    </font>
    <font>
      <b/>
      <sz val="12"/>
      <name val="Calibri"/>
      <family val="2"/>
    </font>
    <font>
      <sz val="12"/>
      <color rgb="FFAD5281"/>
      <name val="Calibri"/>
      <family val="2"/>
    </font>
    <font>
      <b/>
      <sz val="12"/>
      <color rgb="FFAD5281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FF"/>
      <name val="Calibri"/>
      <family val="2"/>
    </font>
    <font>
      <b/>
      <sz val="12"/>
      <color rgb="FFA64D79"/>
      <name val="Calibri"/>
      <family val="2"/>
    </font>
    <font>
      <sz val="12"/>
      <color rgb="FF0000FF"/>
      <name val="Calibri"/>
      <family val="2"/>
    </font>
    <font>
      <sz val="12"/>
      <color rgb="FFA64D79"/>
      <name val="Calibri"/>
      <family val="2"/>
    </font>
    <font>
      <b/>
      <sz val="12"/>
      <color rgb="FF3D85C6"/>
      <name val="Calibri"/>
      <family val="2"/>
    </font>
    <font>
      <sz val="12"/>
      <color rgb="FF93C47D"/>
      <name val="Calibri"/>
      <family val="2"/>
    </font>
    <font>
      <b/>
      <sz val="12"/>
      <color rgb="FF4A86E8"/>
      <name val="Calibri"/>
      <family val="2"/>
    </font>
    <font>
      <b/>
      <sz val="12"/>
      <color rgb="FF1155CC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</font>
  </fonts>
  <fills count="2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89C765"/>
      </patternFill>
    </fill>
    <fill>
      <patternFill patternType="solid">
        <fgColor rgb="FFD5A6BD"/>
        <bgColor rgb="FFD5A6BD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4.9989318521683403E-2"/>
        <bgColor rgb="FFE6B8AF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 tint="-0.14999847407452621"/>
        <bgColor rgb="FF89C765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D9D9D9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2" fillId="0" borderId="0"/>
    <xf numFmtId="0" fontId="5" fillId="0" borderId="0"/>
    <xf numFmtId="0" fontId="33" fillId="0" borderId="0"/>
    <xf numFmtId="0" fontId="34" fillId="0" borderId="0"/>
    <xf numFmtId="43" fontId="32" fillId="0" borderId="0" applyFont="0" applyFill="0" applyBorder="0" applyAlignment="0" applyProtection="0"/>
  </cellStyleXfs>
  <cellXfs count="185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4" fontId="3" fillId="4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6" fillId="0" borderId="0" xfId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7" borderId="1" xfId="0" applyFont="1" applyFill="1" applyBorder="1" applyAlignment="1">
      <alignment vertical="center"/>
    </xf>
    <xf numFmtId="44" fontId="3" fillId="7" borderId="1" xfId="1" applyFont="1" applyFill="1" applyBorder="1" applyAlignment="1">
      <alignment horizontal="center" vertical="center"/>
    </xf>
    <xf numFmtId="10" fontId="3" fillId="7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44" fontId="8" fillId="10" borderId="1" xfId="1" applyFont="1" applyFill="1" applyBorder="1" applyAlignment="1">
      <alignment horizontal="center" vertical="center"/>
    </xf>
    <xf numFmtId="44" fontId="8" fillId="3" borderId="1" xfId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44" fontId="8" fillId="0" borderId="0" xfId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left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44" fontId="7" fillId="0" borderId="0" xfId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8" borderId="1" xfId="3" applyFont="1" applyFill="1" applyBorder="1" applyAlignment="1">
      <alignment horizontal="center" vertical="center" wrapText="1"/>
    </xf>
    <xf numFmtId="0" fontId="10" fillId="8" borderId="1" xfId="3" applyFont="1" applyFill="1" applyBorder="1" applyAlignment="1"/>
    <xf numFmtId="44" fontId="8" fillId="0" borderId="1" xfId="1" applyFont="1" applyBorder="1" applyAlignment="1">
      <alignment horizontal="right" vertical="center"/>
    </xf>
    <xf numFmtId="44" fontId="13" fillId="0" borderId="1" xfId="1" applyFont="1" applyFill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/>
    </xf>
    <xf numFmtId="44" fontId="15" fillId="11" borderId="1" xfId="1" applyFont="1" applyFill="1" applyBorder="1" applyAlignment="1"/>
    <xf numFmtId="44" fontId="0" fillId="0" borderId="1" xfId="1" applyFont="1" applyBorder="1" applyAlignment="1"/>
    <xf numFmtId="44" fontId="0" fillId="12" borderId="1" xfId="1" applyFont="1" applyFill="1" applyBorder="1" applyAlignment="1"/>
    <xf numFmtId="44" fontId="8" fillId="12" borderId="1" xfId="1" applyFont="1" applyFill="1" applyBorder="1" applyAlignment="1">
      <alignment horizontal="center" vertical="center"/>
    </xf>
    <xf numFmtId="44" fontId="8" fillId="11" borderId="1" xfId="1" applyFont="1" applyFill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44" fontId="8" fillId="14" borderId="1" xfId="1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 vertical="center"/>
    </xf>
    <xf numFmtId="0" fontId="5" fillId="8" borderId="1" xfId="3" applyFont="1" applyFill="1" applyBorder="1" applyAlignment="1"/>
    <xf numFmtId="0" fontId="10" fillId="15" borderId="1" xfId="3" applyFont="1" applyFill="1" applyBorder="1" applyAlignment="1">
      <alignment horizontal="center" vertical="center"/>
    </xf>
    <xf numFmtId="44" fontId="8" fillId="16" borderId="1" xfId="1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 wrapText="1"/>
    </xf>
    <xf numFmtId="0" fontId="0" fillId="8" borderId="1" xfId="3" applyFont="1" applyFill="1" applyBorder="1" applyAlignment="1"/>
    <xf numFmtId="44" fontId="8" fillId="0" borderId="1" xfId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right" vertical="center"/>
    </xf>
    <xf numFmtId="44" fontId="8" fillId="0" borderId="1" xfId="1" applyFont="1" applyFill="1" applyBorder="1" applyAlignment="1">
      <alignment horizontal="center" vertical="center"/>
    </xf>
    <xf numFmtId="44" fontId="8" fillId="10" borderId="1" xfId="1" applyFont="1" applyFill="1" applyBorder="1" applyAlignment="1">
      <alignment horizontal="right"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vertical="center" wrapText="1"/>
    </xf>
    <xf numFmtId="44" fontId="3" fillId="18" borderId="1" xfId="1" applyFont="1" applyFill="1" applyBorder="1" applyAlignment="1">
      <alignment horizontal="center" vertical="center" wrapText="1"/>
    </xf>
    <xf numFmtId="10" fontId="3" fillId="18" borderId="1" xfId="0" applyNumberFormat="1" applyFont="1" applyFill="1" applyBorder="1" applyAlignment="1">
      <alignment horizontal="center" vertical="center"/>
    </xf>
    <xf numFmtId="44" fontId="3" fillId="0" borderId="0" xfId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8" fillId="8" borderId="1" xfId="3" applyFont="1" applyFill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17" fillId="19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left" vertical="center" wrapText="1"/>
    </xf>
    <xf numFmtId="0" fontId="18" fillId="19" borderId="1" xfId="0" applyFont="1" applyFill="1" applyBorder="1" applyAlignment="1">
      <alignment vertical="center" wrapText="1"/>
    </xf>
    <xf numFmtId="44" fontId="18" fillId="19" borderId="1" xfId="1" applyFont="1" applyFill="1" applyBorder="1" applyAlignment="1">
      <alignment horizontal="center" vertical="center" wrapText="1"/>
    </xf>
    <xf numFmtId="44" fontId="17" fillId="19" borderId="1" xfId="1" applyFont="1" applyFill="1" applyBorder="1" applyAlignment="1">
      <alignment vertical="center" wrapText="1"/>
    </xf>
    <xf numFmtId="44" fontId="17" fillId="19" borderId="1" xfId="1" applyFont="1" applyFill="1" applyBorder="1" applyAlignment="1">
      <alignment horizontal="center" vertical="center"/>
    </xf>
    <xf numFmtId="44" fontId="17" fillId="3" borderId="1" xfId="1" applyFont="1" applyFill="1" applyBorder="1" applyAlignment="1">
      <alignment horizontal="center" vertical="center"/>
    </xf>
    <xf numFmtId="10" fontId="18" fillId="3" borderId="1" xfId="0" applyNumberFormat="1" applyFont="1" applyFill="1" applyBorder="1" applyAlignment="1">
      <alignment horizontal="center" vertical="center" wrapText="1"/>
    </xf>
    <xf numFmtId="44" fontId="16" fillId="19" borderId="1" xfId="1" applyFont="1" applyFill="1" applyBorder="1" applyAlignment="1">
      <alignment horizontal="center" vertical="center" wrapText="1"/>
    </xf>
    <xf numFmtId="44" fontId="18" fillId="16" borderId="1" xfId="1" applyFont="1" applyFill="1" applyBorder="1" applyAlignment="1">
      <alignment horizontal="center" vertical="center" wrapText="1"/>
    </xf>
    <xf numFmtId="44" fontId="17" fillId="16" borderId="1" xfId="1" applyFont="1" applyFill="1" applyBorder="1" applyAlignment="1">
      <alignment horizontal="center" vertical="center" wrapText="1"/>
    </xf>
    <xf numFmtId="44" fontId="19" fillId="16" borderId="0" xfId="1" applyFont="1" applyFill="1" applyAlignment="1">
      <alignment horizontal="center"/>
    </xf>
    <xf numFmtId="164" fontId="19" fillId="16" borderId="0" xfId="0" applyNumberFormat="1" applyFont="1" applyFill="1" applyAlignment="1">
      <alignment horizontal="center"/>
    </xf>
    <xf numFmtId="0" fontId="18" fillId="18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18" borderId="1" xfId="0" applyFont="1" applyFill="1" applyBorder="1" applyAlignment="1">
      <alignment vertical="center" wrapText="1"/>
    </xf>
    <xf numFmtId="44" fontId="18" fillId="18" borderId="1" xfId="1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>
      <alignment horizontal="center" vertical="center" wrapText="1"/>
    </xf>
    <xf numFmtId="10" fontId="18" fillId="18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left" vertical="center" wrapText="1"/>
    </xf>
    <xf numFmtId="0" fontId="8" fillId="14" borderId="1" xfId="0" applyFont="1" applyFill="1" applyBorder="1" applyAlignment="1">
      <alignment vertical="center" wrapText="1"/>
    </xf>
    <xf numFmtId="44" fontId="8" fillId="13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0" fontId="3" fillId="18" borderId="1" xfId="0" applyNumberFormat="1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left" vertical="center" wrapText="1"/>
    </xf>
    <xf numFmtId="44" fontId="20" fillId="0" borderId="1" xfId="1" applyFont="1" applyBorder="1" applyAlignment="1">
      <alignment horizontal="center" vertical="center"/>
    </xf>
    <xf numFmtId="44" fontId="22" fillId="0" borderId="1" xfId="1" applyFont="1" applyBorder="1" applyAlignment="1">
      <alignment horizontal="center" vertical="center"/>
    </xf>
    <xf numFmtId="0" fontId="18" fillId="18" borderId="1" xfId="0" applyFont="1" applyFill="1" applyBorder="1" applyAlignment="1">
      <alignment horizontal="left" vertical="center" wrapText="1"/>
    </xf>
    <xf numFmtId="44" fontId="3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44" fontId="21" fillId="2" borderId="1" xfId="1" applyFont="1" applyFill="1" applyBorder="1" applyAlignment="1">
      <alignment horizontal="center" vertical="center" wrapText="1"/>
    </xf>
    <xf numFmtId="44" fontId="21" fillId="3" borderId="1" xfId="1" applyFont="1" applyFill="1" applyBorder="1" applyAlignment="1">
      <alignment horizontal="center" vertical="center"/>
    </xf>
    <xf numFmtId="44" fontId="21" fillId="0" borderId="0" xfId="1" applyFont="1" applyAlignment="1">
      <alignment horizontal="center"/>
    </xf>
    <xf numFmtId="10" fontId="21" fillId="0" borderId="0" xfId="0" applyNumberFormat="1" applyFont="1" applyAlignment="1">
      <alignment horizontal="center"/>
    </xf>
    <xf numFmtId="44" fontId="21" fillId="4" borderId="1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44" fontId="21" fillId="3" borderId="1" xfId="1" applyFont="1" applyFill="1" applyBorder="1" applyAlignment="1">
      <alignment horizontal="center" vertical="center" wrapText="1"/>
    </xf>
    <xf numFmtId="44" fontId="23" fillId="4" borderId="1" xfId="1" applyFont="1" applyFill="1" applyBorder="1" applyAlignment="1">
      <alignment horizontal="center" vertical="center"/>
    </xf>
    <xf numFmtId="44" fontId="24" fillId="0" borderId="1" xfId="1" applyFont="1" applyBorder="1" applyAlignment="1">
      <alignment horizontal="center" vertical="center"/>
    </xf>
    <xf numFmtId="44" fontId="8" fillId="4" borderId="1" xfId="1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left" vertical="center" wrapText="1"/>
    </xf>
    <xf numFmtId="0" fontId="21" fillId="18" borderId="1" xfId="0" applyFont="1" applyFill="1" applyBorder="1" applyAlignment="1">
      <alignment vertical="center" wrapText="1"/>
    </xf>
    <xf numFmtId="44" fontId="21" fillId="18" borderId="1" xfId="1" applyFont="1" applyFill="1" applyBorder="1" applyAlignment="1">
      <alignment horizontal="center" vertical="center" wrapText="1"/>
    </xf>
    <xf numFmtId="10" fontId="21" fillId="18" borderId="1" xfId="0" applyNumberFormat="1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44" fontId="18" fillId="4" borderId="1" xfId="1" applyFont="1" applyFill="1" applyBorder="1" applyAlignment="1">
      <alignment horizontal="center" vertical="center" wrapText="1"/>
    </xf>
    <xf numFmtId="10" fontId="18" fillId="4" borderId="1" xfId="0" applyNumberFormat="1" applyFont="1" applyFill="1" applyBorder="1" applyAlignment="1">
      <alignment horizontal="center" vertical="center" wrapText="1"/>
    </xf>
    <xf numFmtId="44" fontId="23" fillId="3" borderId="1" xfId="1" applyFont="1" applyFill="1" applyBorder="1" applyAlignment="1">
      <alignment horizontal="center" vertical="center"/>
    </xf>
    <xf numFmtId="10" fontId="21" fillId="2" borderId="1" xfId="0" applyNumberFormat="1" applyFont="1" applyFill="1" applyBorder="1" applyAlignment="1">
      <alignment horizontal="center" vertical="center"/>
    </xf>
    <xf numFmtId="44" fontId="26" fillId="0" borderId="1" xfId="1" applyFont="1" applyBorder="1" applyAlignment="1">
      <alignment horizontal="center" vertical="center"/>
    </xf>
    <xf numFmtId="44" fontId="27" fillId="0" borderId="1" xfId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44" fontId="21" fillId="4" borderId="1" xfId="1" applyFont="1" applyFill="1" applyBorder="1" applyAlignment="1">
      <alignment horizontal="center" vertical="center" wrapText="1"/>
    </xf>
    <xf numFmtId="10" fontId="21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164" fontId="3" fillId="10" borderId="0" xfId="0" applyNumberFormat="1" applyFont="1" applyFill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11" fillId="10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28" fillId="10" borderId="0" xfId="0" applyFont="1" applyFill="1" applyAlignment="1">
      <alignment horizontal="left" vertical="center"/>
    </xf>
    <xf numFmtId="0" fontId="12" fillId="10" borderId="0" xfId="0" applyFont="1" applyFill="1"/>
    <xf numFmtId="4" fontId="11" fillId="0" borderId="0" xfId="0" applyNumberFormat="1" applyFont="1" applyAlignment="1">
      <alignment vertical="center"/>
    </xf>
    <xf numFmtId="0" fontId="29" fillId="10" borderId="0" xfId="0" applyFont="1" applyFill="1" applyAlignment="1">
      <alignment horizontal="left"/>
    </xf>
    <xf numFmtId="10" fontId="12" fillId="0" borderId="0" xfId="0" applyNumberFormat="1" applyFont="1"/>
    <xf numFmtId="0" fontId="0" fillId="0" borderId="0" xfId="0" applyFont="1" applyAlignment="1">
      <alignment horizontal="left"/>
    </xf>
    <xf numFmtId="0" fontId="2" fillId="0" borderId="3" xfId="0" applyFont="1" applyBorder="1" applyAlignment="1"/>
    <xf numFmtId="0" fontId="3" fillId="2" borderId="2" xfId="0" applyFont="1" applyFill="1" applyBorder="1" applyAlignment="1">
      <alignment vertical="center" wrapText="1"/>
    </xf>
    <xf numFmtId="164" fontId="3" fillId="20" borderId="1" xfId="0" applyNumberFormat="1" applyFont="1" applyFill="1" applyBorder="1" applyAlignment="1">
      <alignment horizontal="center" vertical="center"/>
    </xf>
    <xf numFmtId="44" fontId="3" fillId="20" borderId="1" xfId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 wrapText="1"/>
    </xf>
    <xf numFmtId="0" fontId="8" fillId="22" borderId="1" xfId="3" applyFont="1" applyFill="1" applyBorder="1" applyAlignment="1">
      <alignment vertical="center" wrapText="1"/>
    </xf>
    <xf numFmtId="3" fontId="8" fillId="22" borderId="1" xfId="3" applyNumberFormat="1" applyFont="1" applyFill="1" applyBorder="1" applyAlignment="1">
      <alignment horizontal="left" vertical="center" wrapText="1"/>
    </xf>
    <xf numFmtId="0" fontId="9" fillId="22" borderId="1" xfId="3" applyFont="1" applyFill="1" applyBorder="1" applyAlignment="1">
      <alignment vertical="center" wrapText="1"/>
    </xf>
    <xf numFmtId="0" fontId="11" fillId="22" borderId="1" xfId="3" applyFont="1" applyFill="1" applyBorder="1" applyAlignment="1">
      <alignment horizontal="left" vertical="center" wrapText="1"/>
    </xf>
    <xf numFmtId="0" fontId="11" fillId="22" borderId="1" xfId="3" applyFont="1" applyFill="1" applyBorder="1" applyAlignment="1">
      <alignment vertical="center" wrapText="1"/>
    </xf>
    <xf numFmtId="0" fontId="14" fillId="22" borderId="1" xfId="3" applyFont="1" applyFill="1" applyBorder="1" applyAlignment="1">
      <alignment vertical="center" wrapText="1"/>
    </xf>
    <xf numFmtId="0" fontId="8" fillId="12" borderId="1" xfId="3" applyFont="1" applyFill="1" applyBorder="1" applyAlignment="1">
      <alignment horizontal="left" vertical="center" wrapText="1"/>
    </xf>
    <xf numFmtId="0" fontId="8" fillId="12" borderId="1" xfId="3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3" fontId="8" fillId="22" borderId="1" xfId="4" applyNumberFormat="1" applyFont="1" applyFill="1" applyBorder="1" applyAlignment="1">
      <alignment horizontal="left" vertical="center" wrapText="1"/>
    </xf>
    <xf numFmtId="0" fontId="8" fillId="23" borderId="1" xfId="3" applyFont="1" applyFill="1" applyBorder="1" applyAlignment="1">
      <alignment horizontal="left" vertical="center" wrapText="1"/>
    </xf>
    <xf numFmtId="0" fontId="12" fillId="12" borderId="1" xfId="3" applyFont="1" applyFill="1" applyBorder="1" applyAlignment="1"/>
    <xf numFmtId="0" fontId="8" fillId="22" borderId="1" xfId="4" applyFont="1" applyFill="1" applyBorder="1" applyAlignment="1">
      <alignment vertical="center" wrapText="1"/>
    </xf>
    <xf numFmtId="164" fontId="3" fillId="20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/>
    <xf numFmtId="16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4" fontId="3" fillId="21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" fillId="24" borderId="2" xfId="0" applyFont="1" applyFill="1" applyBorder="1" applyAlignment="1">
      <alignment vertical="center"/>
    </xf>
    <xf numFmtId="0" fontId="2" fillId="12" borderId="4" xfId="0" applyFont="1" applyFill="1" applyBorder="1" applyAlignment="1"/>
  </cellXfs>
  <cellStyles count="10">
    <cellStyle name="Moeda" xfId="1" builtinId="4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6" xfId="8"/>
    <cellStyle name="Porcentagem" xfId="2" builtinId="5"/>
    <cellStyle name="Vírgula 2" xfId="9"/>
  </cellStyles>
  <dxfs count="1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927"/>
  <sheetViews>
    <sheetView showGridLines="0" tabSelected="1" workbookViewId="0">
      <pane xSplit="4" ySplit="3" topLeftCell="E61" activePane="bottomRight" state="frozen"/>
      <selection pane="topRight" activeCell="E1" sqref="E1"/>
      <selection pane="bottomLeft" activeCell="A4" sqref="A4"/>
      <selection pane="bottomRight" activeCell="D15" sqref="D15"/>
    </sheetView>
  </sheetViews>
  <sheetFormatPr defaultColWidth="14.42578125" defaultRowHeight="15" customHeight="1" x14ac:dyDescent="0.25"/>
  <cols>
    <col min="1" max="1" width="14.85546875" style="2" hidden="1" customWidth="1"/>
    <col min="2" max="2" width="14.7109375" style="2" hidden="1" customWidth="1"/>
    <col min="3" max="3" width="14.85546875" style="154" customWidth="1"/>
    <col min="4" max="4" width="66.140625" style="2" customWidth="1"/>
    <col min="5" max="5" width="19.7109375" style="2" customWidth="1"/>
    <col min="6" max="6" width="17.5703125" style="2" customWidth="1"/>
    <col min="7" max="7" width="15" style="2" customWidth="1"/>
    <col min="8" max="8" width="18.28515625" style="2" customWidth="1"/>
    <col min="9" max="9" width="17.42578125" style="2" customWidth="1"/>
    <col min="10" max="10" width="18.42578125" style="2" customWidth="1"/>
    <col min="11" max="11" width="16.7109375" style="2" customWidth="1"/>
    <col min="12" max="12" width="15.5703125" style="2" customWidth="1"/>
    <col min="13" max="13" width="19.140625" style="2" customWidth="1"/>
    <col min="14" max="14" width="15.5703125" style="2" customWidth="1"/>
    <col min="15" max="15" width="23.5703125" style="2" hidden="1" customWidth="1"/>
    <col min="16" max="16" width="18.140625" style="2" hidden="1" customWidth="1"/>
    <col min="17" max="17" width="16.7109375" style="2" hidden="1" customWidth="1"/>
    <col min="18" max="18" width="12.28515625" style="2" hidden="1" customWidth="1"/>
    <col min="19" max="19" width="11.42578125" style="2" hidden="1" customWidth="1"/>
    <col min="20" max="20" width="12.140625" style="2" hidden="1" customWidth="1"/>
    <col min="21" max="21" width="16" style="2" hidden="1" customWidth="1"/>
    <col min="22" max="25" width="15.7109375" style="2" hidden="1" customWidth="1"/>
    <col min="26" max="26" width="16.85546875" style="2" hidden="1" customWidth="1"/>
    <col min="27" max="28" width="15.7109375" style="2" hidden="1" customWidth="1"/>
    <col min="29" max="29" width="16.42578125" style="2" hidden="1" customWidth="1"/>
    <col min="30" max="31" width="15.7109375" style="2" hidden="1" customWidth="1"/>
    <col min="32" max="32" width="17.7109375" style="2" hidden="1" customWidth="1"/>
    <col min="33" max="34" width="15.7109375" style="2" hidden="1" customWidth="1"/>
    <col min="35" max="35" width="14.7109375" style="2" hidden="1" customWidth="1"/>
    <col min="36" max="59" width="15.7109375" style="2" hidden="1" customWidth="1"/>
    <col min="60" max="64" width="0" style="2" hidden="1" customWidth="1"/>
    <col min="65" max="16384" width="14.42578125" style="2"/>
  </cols>
  <sheetData>
    <row r="1" spans="1:64" ht="18.75" customHeight="1" x14ac:dyDescent="0.25">
      <c r="B1" s="155"/>
      <c r="C1" s="183" t="s">
        <v>0</v>
      </c>
      <c r="D1" s="184"/>
      <c r="E1" s="175" t="s">
        <v>1</v>
      </c>
      <c r="F1" s="176"/>
      <c r="G1" s="176"/>
      <c r="H1" s="176"/>
      <c r="I1" s="177" t="s">
        <v>2</v>
      </c>
      <c r="J1" s="178"/>
      <c r="K1" s="178"/>
      <c r="L1" s="179" t="s">
        <v>3</v>
      </c>
      <c r="M1" s="176"/>
      <c r="N1" s="176"/>
      <c r="O1" s="177" t="s">
        <v>4</v>
      </c>
      <c r="P1" s="178"/>
      <c r="Q1" s="178"/>
      <c r="R1" s="180" t="s">
        <v>5</v>
      </c>
      <c r="S1" s="178"/>
      <c r="T1" s="178"/>
      <c r="U1" s="181" t="s">
        <v>6</v>
      </c>
      <c r="V1" s="182"/>
      <c r="W1" s="182"/>
      <c r="X1" s="181" t="s">
        <v>7</v>
      </c>
      <c r="Y1" s="182"/>
      <c r="Z1" s="182"/>
      <c r="AA1" s="181" t="s">
        <v>8</v>
      </c>
      <c r="AB1" s="182"/>
      <c r="AC1" s="182"/>
      <c r="AD1" s="181" t="s">
        <v>9</v>
      </c>
      <c r="AE1" s="182"/>
      <c r="AF1" s="182"/>
      <c r="AG1" s="181" t="s">
        <v>10</v>
      </c>
      <c r="AH1" s="182"/>
      <c r="AI1" s="182"/>
      <c r="AJ1" s="181" t="s">
        <v>11</v>
      </c>
      <c r="AK1" s="182"/>
      <c r="AL1" s="182"/>
      <c r="AM1" s="181" t="s">
        <v>12</v>
      </c>
      <c r="AN1" s="182"/>
      <c r="AO1" s="182"/>
      <c r="AP1" s="181" t="s">
        <v>13</v>
      </c>
      <c r="AQ1" s="182"/>
      <c r="AR1" s="182"/>
      <c r="AS1" s="181" t="s">
        <v>14</v>
      </c>
      <c r="AT1" s="182"/>
      <c r="AU1" s="182"/>
      <c r="AV1" s="181" t="s">
        <v>15</v>
      </c>
      <c r="AW1" s="182"/>
      <c r="AX1" s="182"/>
      <c r="AY1" s="181" t="s">
        <v>16</v>
      </c>
      <c r="AZ1" s="182"/>
      <c r="BA1" s="182"/>
      <c r="BB1" s="181" t="s">
        <v>17</v>
      </c>
      <c r="BC1" s="182"/>
      <c r="BD1" s="182"/>
      <c r="BE1" s="181" t="s">
        <v>18</v>
      </c>
      <c r="BF1" s="182"/>
      <c r="BG1" s="182"/>
      <c r="BH1" s="1"/>
      <c r="BI1" s="1"/>
      <c r="BJ1" s="1"/>
      <c r="BK1" s="1"/>
      <c r="BL1" s="1"/>
    </row>
    <row r="2" spans="1:64" ht="45.75" customHeight="1" x14ac:dyDescent="0.25">
      <c r="A2" s="156" t="s">
        <v>19</v>
      </c>
      <c r="B2" s="155"/>
      <c r="C2" s="184" t="s">
        <v>19</v>
      </c>
      <c r="D2" s="3" t="s">
        <v>20</v>
      </c>
      <c r="E2" s="157" t="s">
        <v>22</v>
      </c>
      <c r="F2" s="157" t="s">
        <v>23</v>
      </c>
      <c r="G2" s="157" t="s">
        <v>24</v>
      </c>
      <c r="H2" s="157" t="s">
        <v>21</v>
      </c>
      <c r="I2" s="5" t="s">
        <v>22</v>
      </c>
      <c r="J2" s="5" t="s">
        <v>23</v>
      </c>
      <c r="K2" s="5" t="s">
        <v>21</v>
      </c>
      <c r="L2" s="4" t="s">
        <v>22</v>
      </c>
      <c r="M2" s="4" t="s">
        <v>23</v>
      </c>
      <c r="N2" s="4" t="s">
        <v>21</v>
      </c>
      <c r="O2" s="5" t="s">
        <v>25</v>
      </c>
      <c r="P2" s="5" t="s">
        <v>23</v>
      </c>
      <c r="Q2" s="5" t="s">
        <v>26</v>
      </c>
      <c r="R2" s="6" t="s">
        <v>27</v>
      </c>
      <c r="S2" s="7" t="s">
        <v>23</v>
      </c>
      <c r="T2" s="6" t="s">
        <v>28</v>
      </c>
      <c r="U2" s="8" t="s">
        <v>22</v>
      </c>
      <c r="V2" s="8" t="s">
        <v>23</v>
      </c>
      <c r="W2" s="8" t="s">
        <v>21</v>
      </c>
      <c r="X2" s="8" t="s">
        <v>22</v>
      </c>
      <c r="Y2" s="8" t="s">
        <v>23</v>
      </c>
      <c r="Z2" s="8" t="s">
        <v>21</v>
      </c>
      <c r="AA2" s="8" t="s">
        <v>22</v>
      </c>
      <c r="AB2" s="8" t="s">
        <v>23</v>
      </c>
      <c r="AC2" s="8" t="s">
        <v>21</v>
      </c>
      <c r="AD2" s="8" t="s">
        <v>22</v>
      </c>
      <c r="AE2" s="8" t="s">
        <v>23</v>
      </c>
      <c r="AF2" s="8" t="s">
        <v>21</v>
      </c>
      <c r="AG2" s="8" t="s">
        <v>22</v>
      </c>
      <c r="AH2" s="8" t="s">
        <v>23</v>
      </c>
      <c r="AI2" s="8" t="s">
        <v>21</v>
      </c>
      <c r="AJ2" s="8" t="s">
        <v>22</v>
      </c>
      <c r="AK2" s="8" t="s">
        <v>23</v>
      </c>
      <c r="AL2" s="8" t="s">
        <v>21</v>
      </c>
      <c r="AM2" s="8" t="s">
        <v>22</v>
      </c>
      <c r="AN2" s="8" t="s">
        <v>23</v>
      </c>
      <c r="AO2" s="8" t="s">
        <v>21</v>
      </c>
      <c r="AP2" s="8" t="s">
        <v>22</v>
      </c>
      <c r="AQ2" s="8" t="s">
        <v>23</v>
      </c>
      <c r="AR2" s="8" t="s">
        <v>21</v>
      </c>
      <c r="AS2" s="8" t="s">
        <v>22</v>
      </c>
      <c r="AT2" s="8" t="s">
        <v>23</v>
      </c>
      <c r="AU2" s="8" t="s">
        <v>21</v>
      </c>
      <c r="AV2" s="8" t="s">
        <v>22</v>
      </c>
      <c r="AW2" s="8" t="s">
        <v>23</v>
      </c>
      <c r="AX2" s="8" t="s">
        <v>21</v>
      </c>
      <c r="AY2" s="8" t="s">
        <v>22</v>
      </c>
      <c r="AZ2" s="8" t="s">
        <v>23</v>
      </c>
      <c r="BA2" s="8" t="s">
        <v>21</v>
      </c>
      <c r="BB2" s="8" t="s">
        <v>22</v>
      </c>
      <c r="BC2" s="8" t="s">
        <v>23</v>
      </c>
      <c r="BD2" s="8" t="s">
        <v>21</v>
      </c>
      <c r="BE2" s="8" t="s">
        <v>22</v>
      </c>
      <c r="BF2" s="8" t="s">
        <v>23</v>
      </c>
      <c r="BG2" s="8" t="s">
        <v>21</v>
      </c>
      <c r="BH2" s="1"/>
      <c r="BI2" s="1"/>
      <c r="BJ2" s="1"/>
      <c r="BK2" s="1"/>
      <c r="BL2" s="1"/>
    </row>
    <row r="3" spans="1:64" ht="21" x14ac:dyDescent="0.25">
      <c r="A3" s="9" t="s">
        <v>29</v>
      </c>
      <c r="B3" s="10" t="s">
        <v>30</v>
      </c>
      <c r="C3" s="11" t="s">
        <v>31</v>
      </c>
      <c r="D3" s="9" t="s">
        <v>32</v>
      </c>
      <c r="E3" s="158">
        <f>E4+E6+E37+E55+E86</f>
        <v>1887909.8699999999</v>
      </c>
      <c r="F3" s="158">
        <f>F4+F6+F37+F55+F86</f>
        <v>2340309.29</v>
      </c>
      <c r="G3" s="158">
        <f>G4+G6+G37+G55+G86</f>
        <v>6706.7800000000007</v>
      </c>
      <c r="H3" s="158">
        <f>H4+H6+H37+H55+H86</f>
        <v>142873.54999999999</v>
      </c>
      <c r="I3" s="12">
        <f>I4+I6+I37+I55+I86</f>
        <v>572751.75000000012</v>
      </c>
      <c r="J3" s="12">
        <f>J4+J6+J37+J55+J86</f>
        <v>2084944.3400000003</v>
      </c>
      <c r="K3" s="12">
        <f>K4+K6+K37+K55+K86</f>
        <v>39920</v>
      </c>
      <c r="L3" s="13">
        <f t="shared" ref="L3:N5" si="0">IF(BE3=0,SUM(U3+X3+AA3+AD3+AG3+AJ3+AM3+AP3+AS3+AV3+AY3+BB3),BE3)</f>
        <v>583381.75</v>
      </c>
      <c r="M3" s="13">
        <f t="shared" si="0"/>
        <v>2084517.6099999999</v>
      </c>
      <c r="N3" s="4">
        <f>IF(BG3=0,SUM(W3+Z3+AC3+AF3+AI3+AL3+AO3+AR3+AU3+AX3+BA3+BD3),BG3)</f>
        <v>39920</v>
      </c>
      <c r="O3" s="5">
        <f>O4+O6+O37+O55+O86</f>
        <v>1253828.1200000001</v>
      </c>
      <c r="P3" s="5">
        <f>P4+P6+P37+P55+P86</f>
        <v>248658.16999999998</v>
      </c>
      <c r="Q3" s="5">
        <f>Q4+Q6+Q37+Q55+Q86</f>
        <v>102953.54999999999</v>
      </c>
      <c r="R3" s="7">
        <f t="shared" ref="R3:S9" si="1">I3/E3</f>
        <v>0.30337875716492768</v>
      </c>
      <c r="S3" s="7">
        <f t="shared" si="1"/>
        <v>0.89088410190432576</v>
      </c>
      <c r="T3" s="7">
        <f t="shared" ref="T3:T44" si="2">K3/H3</f>
        <v>0.27940791000153636</v>
      </c>
      <c r="U3" s="14">
        <f>U4+U6+U37+U55+U86</f>
        <v>27.08</v>
      </c>
      <c r="V3" s="14">
        <f>V4+V6+V37+V55+V86</f>
        <v>82979.189999999988</v>
      </c>
      <c r="W3" s="14">
        <f>W4+W6+W37+W55+W86</f>
        <v>0</v>
      </c>
      <c r="X3" s="14">
        <f>X4+X6+X37+X55+X86</f>
        <v>3450.05</v>
      </c>
      <c r="Y3" s="14">
        <f>Y4+Y6+Y37+Y55+Y86</f>
        <v>139830.27000000002</v>
      </c>
      <c r="Z3" s="14">
        <f>Z4+Z6+Z37+Z55+Z86</f>
        <v>0</v>
      </c>
      <c r="AA3" s="14">
        <f>AA4+AA6+AA37+AA55+AA86</f>
        <v>57131.609999999993</v>
      </c>
      <c r="AB3" s="14">
        <f>AB4+AB6+AB37+AB55+AB86</f>
        <v>344883.05</v>
      </c>
      <c r="AC3" s="14">
        <f>AC4+AC6+AC37+AC55+AC86</f>
        <v>0</v>
      </c>
      <c r="AD3" s="14">
        <f>AD4+AD6+AD37+AD55+AD86</f>
        <v>54225.499999999993</v>
      </c>
      <c r="AE3" s="14">
        <f>AE4+AE6+AE37+AE55+AE86</f>
        <v>470977.24</v>
      </c>
      <c r="AF3" s="14">
        <f>AF4+AF6+AF37+AF55+AF86</f>
        <v>11360</v>
      </c>
      <c r="AG3" s="14">
        <f>AG4+AG6+AG37+AG55+AG86</f>
        <v>118041.46</v>
      </c>
      <c r="AH3" s="14">
        <f>AH4+AH6+AH37+AH55+AH86</f>
        <v>176628.82</v>
      </c>
      <c r="AI3" s="14">
        <f>AI4+AI6+AI37+AI55+AI86</f>
        <v>13760</v>
      </c>
      <c r="AJ3" s="14">
        <f>AJ4+AJ6+AJ37+AJ55+AJ86</f>
        <v>101219.86</v>
      </c>
      <c r="AK3" s="14">
        <f>AK4+AK6+AK37+AK55+AK86</f>
        <v>301272.18</v>
      </c>
      <c r="AL3" s="14">
        <f>AL4+AL6+AL37+AL55+AL86</f>
        <v>14800</v>
      </c>
      <c r="AM3" s="14">
        <f>AM4+AM6+AM37+AM55+AM86</f>
        <v>84319.670000000013</v>
      </c>
      <c r="AN3" s="14">
        <f>AN4+AN6+AN37+AN55+AN86</f>
        <v>240449.38</v>
      </c>
      <c r="AO3" s="14">
        <f>AO4+AO6+AO37+AO55+AO86</f>
        <v>0</v>
      </c>
      <c r="AP3" s="14">
        <f>AP4+AP6+AP37+AP55+AP86</f>
        <v>85354.409999999989</v>
      </c>
      <c r="AQ3" s="14">
        <f>AQ4+AQ6+AQ37+AQ55+AQ86</f>
        <v>160079.74</v>
      </c>
      <c r="AR3" s="14">
        <f>AR4+AR6+AR37+AR55+AR86</f>
        <v>0</v>
      </c>
      <c r="AS3" s="14">
        <f>AS4+AS6+AS37+AS55+AS86</f>
        <v>79612.109999999986</v>
      </c>
      <c r="AT3" s="14">
        <f>AT4+AT6+AT37+AT55+AT86</f>
        <v>167417.74</v>
      </c>
      <c r="AU3" s="14">
        <f>AU4+AU6+AU37+AU55+AU86</f>
        <v>0</v>
      </c>
      <c r="AV3" s="14">
        <f>AV4+AV6+AV37+AV55+AV86</f>
        <v>0</v>
      </c>
      <c r="AW3" s="14">
        <f>AW4+AW6+AW37+AW55+AW86</f>
        <v>0</v>
      </c>
      <c r="AX3" s="14">
        <f>AX4+AX6+AX37+AX55+AX86</f>
        <v>0</v>
      </c>
      <c r="AY3" s="14">
        <f>AY4+AY6+AY37+AY55+AY86</f>
        <v>0</v>
      </c>
      <c r="AZ3" s="14">
        <f>AZ4+AZ6+AZ37+AZ55+AZ86</f>
        <v>0</v>
      </c>
      <c r="BA3" s="14">
        <f>BA4+BA6+BA37+BA55+BA86</f>
        <v>0</v>
      </c>
      <c r="BB3" s="14">
        <f>BB4+BB6+BB37+BB55+BB86</f>
        <v>0</v>
      </c>
      <c r="BC3" s="14">
        <f>BC4+BC6+BC37+BC55+BC86</f>
        <v>0</v>
      </c>
      <c r="BD3" s="14">
        <f>BD4+BD6+BD37+BD55+BD86</f>
        <v>0</v>
      </c>
      <c r="BE3" s="14"/>
      <c r="BF3" s="14"/>
      <c r="BG3" s="14"/>
      <c r="BH3" s="15"/>
      <c r="BI3" s="16"/>
      <c r="BJ3" s="16"/>
      <c r="BK3" s="16"/>
      <c r="BL3" s="16"/>
    </row>
    <row r="4" spans="1:64" ht="21" x14ac:dyDescent="0.25">
      <c r="A4" s="17"/>
      <c r="B4" s="17"/>
      <c r="C4" s="17" t="s">
        <v>33</v>
      </c>
      <c r="D4" s="17"/>
      <c r="E4" s="18">
        <f>SUM(E5:E5)</f>
        <v>1000</v>
      </c>
      <c r="F4" s="18">
        <f>SUM(F5:F5)</f>
        <v>0</v>
      </c>
      <c r="G4" s="18"/>
      <c r="H4" s="18">
        <f>SUM(H5:H5)</f>
        <v>0</v>
      </c>
      <c r="I4" s="18">
        <f>SUM(I5:I5)</f>
        <v>344.64</v>
      </c>
      <c r="J4" s="18">
        <f>SUM(J5:J5)</f>
        <v>0</v>
      </c>
      <c r="K4" s="18">
        <f>SUM(K5:K5)</f>
        <v>0</v>
      </c>
      <c r="L4" s="18">
        <f t="shared" si="0"/>
        <v>344.64</v>
      </c>
      <c r="M4" s="18">
        <f t="shared" si="0"/>
        <v>0</v>
      </c>
      <c r="N4" s="18">
        <f t="shared" si="0"/>
        <v>0</v>
      </c>
      <c r="O4" s="18">
        <f>SUM(O5:O5)</f>
        <v>655.36</v>
      </c>
      <c r="P4" s="18">
        <f>SUM(P5:P5)</f>
        <v>0</v>
      </c>
      <c r="Q4" s="18">
        <f>SUM(Q5:Q5)</f>
        <v>0</v>
      </c>
      <c r="R4" s="18">
        <f t="shared" si="1"/>
        <v>0.34464</v>
      </c>
      <c r="S4" s="19" t="e">
        <f t="shared" si="1"/>
        <v>#DIV/0!</v>
      </c>
      <c r="T4" s="19" t="e">
        <f t="shared" si="2"/>
        <v>#DIV/0!</v>
      </c>
      <c r="U4" s="18">
        <f>SUM(U5:U5)</f>
        <v>0</v>
      </c>
      <c r="V4" s="18">
        <f>SUM(V5:V5)</f>
        <v>0</v>
      </c>
      <c r="W4" s="18">
        <f>SUM(W5:W5)</f>
        <v>0</v>
      </c>
      <c r="X4" s="18">
        <f>SUM(X5:X5)</f>
        <v>0</v>
      </c>
      <c r="Y4" s="18">
        <f>SUM(Y5:Y5)</f>
        <v>0</v>
      </c>
      <c r="Z4" s="18">
        <f>SUM(Z5:Z5)</f>
        <v>0</v>
      </c>
      <c r="AA4" s="18">
        <f>SUM(AA5:AA5)</f>
        <v>0</v>
      </c>
      <c r="AB4" s="18">
        <f>SUM(AB5:AB5)</f>
        <v>0</v>
      </c>
      <c r="AC4" s="18">
        <f>SUM(AC5:AC5)</f>
        <v>0</v>
      </c>
      <c r="AD4" s="18">
        <f>SUM(AD5:AD5)</f>
        <v>0</v>
      </c>
      <c r="AE4" s="18">
        <f>SUM(AE5:AE5)</f>
        <v>0</v>
      </c>
      <c r="AF4" s="18">
        <f>SUM(AF5:AF5)</f>
        <v>0</v>
      </c>
      <c r="AG4" s="18">
        <f>SUM(AG5:AG5)</f>
        <v>0</v>
      </c>
      <c r="AH4" s="18">
        <f>SUM(AH5:AH5)</f>
        <v>0</v>
      </c>
      <c r="AI4" s="18">
        <f>SUM(AI5:AI5)</f>
        <v>0</v>
      </c>
      <c r="AJ4" s="18">
        <f>SUM(AJ5:AJ5)</f>
        <v>344.64</v>
      </c>
      <c r="AK4" s="18">
        <f>SUM(AK5:AK5)</f>
        <v>0</v>
      </c>
      <c r="AL4" s="18">
        <f>SUM(AL5:AL5)</f>
        <v>0</v>
      </c>
      <c r="AM4" s="18">
        <f>SUM(AM5:AM5)</f>
        <v>0</v>
      </c>
      <c r="AN4" s="18">
        <f>SUM(AN5:AN5)</f>
        <v>0</v>
      </c>
      <c r="AO4" s="18">
        <f>SUM(AO5:AO5)</f>
        <v>0</v>
      </c>
      <c r="AP4" s="18">
        <f>SUM(AP5:AP5)</f>
        <v>0</v>
      </c>
      <c r="AQ4" s="18">
        <f>SUM(AQ5:AQ5)</f>
        <v>0</v>
      </c>
      <c r="AR4" s="18">
        <f>SUM(AR5:AR5)</f>
        <v>0</v>
      </c>
      <c r="AS4" s="18">
        <f>SUM(AS5:AS5)</f>
        <v>0</v>
      </c>
      <c r="AT4" s="18">
        <f>SUM(AT5:AT5)</f>
        <v>0</v>
      </c>
      <c r="AU4" s="18">
        <f>SUM(AU5:AU5)</f>
        <v>0</v>
      </c>
      <c r="AV4" s="18">
        <f>SUM(AV5:AV5)</f>
        <v>0</v>
      </c>
      <c r="AW4" s="18">
        <f>SUM(AW5:AW5)</f>
        <v>0</v>
      </c>
      <c r="AX4" s="18">
        <f>SUM(AX5:AX5)</f>
        <v>0</v>
      </c>
      <c r="AY4" s="18">
        <f>SUM(AY5:AY5)</f>
        <v>0</v>
      </c>
      <c r="AZ4" s="18">
        <f>SUM(AZ5:AZ5)</f>
        <v>0</v>
      </c>
      <c r="BA4" s="18">
        <f>SUM(BA5:BA5)</f>
        <v>0</v>
      </c>
      <c r="BB4" s="18">
        <f>SUM(BB5:BB5)</f>
        <v>0</v>
      </c>
      <c r="BC4" s="18">
        <f>SUM(BC5:BC5)</f>
        <v>0</v>
      </c>
      <c r="BD4" s="18">
        <f>SUM(BD5:BD5)</f>
        <v>0</v>
      </c>
      <c r="BE4" s="18">
        <f>SUM(BE5:BE5)</f>
        <v>0</v>
      </c>
      <c r="BF4" s="18">
        <f>SUM(BF5:BF5)</f>
        <v>0</v>
      </c>
      <c r="BG4" s="18">
        <f>SUM(BG5:BG5)</f>
        <v>0</v>
      </c>
      <c r="BH4" s="15"/>
      <c r="BI4" s="16"/>
      <c r="BJ4" s="16"/>
      <c r="BK4" s="16"/>
      <c r="BL4" s="16"/>
    </row>
    <row r="5" spans="1:64" ht="15.75" x14ac:dyDescent="0.25">
      <c r="A5" s="20"/>
      <c r="B5" s="20"/>
      <c r="C5" s="159" t="s">
        <v>34</v>
      </c>
      <c r="D5" s="160" t="s">
        <v>35</v>
      </c>
      <c r="E5" s="22">
        <v>1000</v>
      </c>
      <c r="F5" s="22"/>
      <c r="G5" s="22"/>
      <c r="H5" s="23"/>
      <c r="I5" s="24">
        <f t="shared" ref="I5:K5" si="3">U5+X5+AA5+AD5+AG5+AJ5+AM5+AP5+AS5+AV5+AY5+BB5</f>
        <v>344.64</v>
      </c>
      <c r="J5" s="24">
        <f t="shared" si="3"/>
        <v>0</v>
      </c>
      <c r="K5" s="24">
        <f t="shared" si="3"/>
        <v>0</v>
      </c>
      <c r="L5" s="24">
        <f t="shared" si="0"/>
        <v>344.64</v>
      </c>
      <c r="M5" s="24">
        <f t="shared" si="0"/>
        <v>0</v>
      </c>
      <c r="N5" s="24">
        <f t="shared" si="0"/>
        <v>0</v>
      </c>
      <c r="O5" s="24">
        <f>E5-I5</f>
        <v>655.36</v>
      </c>
      <c r="P5" s="24">
        <f>F5-J5</f>
        <v>0</v>
      </c>
      <c r="Q5" s="24">
        <f t="shared" ref="Q5" si="4">H5-K5</f>
        <v>0</v>
      </c>
      <c r="R5" s="25">
        <f t="shared" si="1"/>
        <v>0.34464</v>
      </c>
      <c r="S5" s="26" t="e">
        <f t="shared" si="1"/>
        <v>#DIV/0!</v>
      </c>
      <c r="T5" s="26" t="e">
        <f t="shared" si="2"/>
        <v>#DIV/0!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>
        <f>67.68+276.96</f>
        <v>344.64</v>
      </c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7"/>
      <c r="BI5" s="28"/>
      <c r="BJ5" s="28"/>
      <c r="BK5" s="28"/>
      <c r="BL5" s="28"/>
    </row>
    <row r="6" spans="1:64" ht="21" x14ac:dyDescent="0.35">
      <c r="A6" s="30"/>
      <c r="B6" s="30"/>
      <c r="C6" s="30" t="s">
        <v>36</v>
      </c>
      <c r="D6" s="31"/>
      <c r="E6" s="18">
        <f>SUM(E7:E36)</f>
        <v>1765131.64</v>
      </c>
      <c r="F6" s="18">
        <f>SUM(F7:F36)</f>
        <v>1553537.26</v>
      </c>
      <c r="G6" s="18">
        <f>SUM(G7:G36)</f>
        <v>0</v>
      </c>
      <c r="H6" s="18">
        <f>SUM(H7:H33)</f>
        <v>0</v>
      </c>
      <c r="I6" s="18">
        <f>SUM(I7:I36)</f>
        <v>502011.72000000003</v>
      </c>
      <c r="J6" s="18">
        <f>SUM(J7:J36)</f>
        <v>1326307.5900000001</v>
      </c>
      <c r="K6" s="32">
        <f>SUM(K7:K33)</f>
        <v>0</v>
      </c>
      <c r="L6" s="18">
        <f>IF(BE6=0,SUM(U6+X6+AA6+AD6+AG6+AJ6+AM6+AP6+AS6+AV6+AY6+BB6),BE6)</f>
        <v>502011.71999999991</v>
      </c>
      <c r="M6" s="18">
        <f t="shared" ref="M6:N28" si="5">IF(BF6=0,SUM(V6+Y6+AB6+AE6+AH6+AK6+AN6+AQ6+AT6+AW6+AZ6+BC6),BF6)</f>
        <v>1326307.5900000001</v>
      </c>
      <c r="N6" s="32">
        <f t="shared" si="5"/>
        <v>0</v>
      </c>
      <c r="O6" s="18">
        <f>SUM(O7:O36)</f>
        <v>1233119.92</v>
      </c>
      <c r="P6" s="18">
        <f>SUM(P7:P36)</f>
        <v>227229.66999999998</v>
      </c>
      <c r="Q6" s="32">
        <f>SUM(Q7:Q36)</f>
        <v>0</v>
      </c>
      <c r="R6" s="19">
        <f t="shared" si="1"/>
        <v>0.28440469176565214</v>
      </c>
      <c r="S6" s="19">
        <f t="shared" si="1"/>
        <v>0.8537340069976822</v>
      </c>
      <c r="T6" s="19" t="e">
        <f t="shared" si="2"/>
        <v>#DIV/0!</v>
      </c>
      <c r="U6" s="18">
        <f>SUM(U7:U36)</f>
        <v>27.08</v>
      </c>
      <c r="V6" s="18">
        <f>SUM(V7:V35)</f>
        <v>75551.12</v>
      </c>
      <c r="W6" s="18">
        <f>SUM(W7:W36)</f>
        <v>0</v>
      </c>
      <c r="X6" s="18">
        <f>SUM(X7:X36)</f>
        <v>1828.43</v>
      </c>
      <c r="Y6" s="18">
        <f>SUM(Y7:Y36)</f>
        <v>89502.900000000009</v>
      </c>
      <c r="Z6" s="18">
        <f>SUM(Z7:Z33)</f>
        <v>0</v>
      </c>
      <c r="AA6" s="18">
        <f>SUM(AA7:AA36)</f>
        <v>54213.289999999994</v>
      </c>
      <c r="AB6" s="18">
        <f>SUM(AB7:AB35)</f>
        <v>182708.91</v>
      </c>
      <c r="AC6" s="18">
        <f>SUM(AC7:AC33)</f>
        <v>0</v>
      </c>
      <c r="AD6" s="18">
        <f>SUM(AD7:AD36)</f>
        <v>50496.369999999995</v>
      </c>
      <c r="AE6" s="18">
        <f>SUM(AE7:AE36)</f>
        <v>159260.24</v>
      </c>
      <c r="AF6" s="18">
        <f>SUM(AF7:AF33)</f>
        <v>0</v>
      </c>
      <c r="AG6" s="18">
        <f>SUM(AG7:AG36)</f>
        <v>84305.43</v>
      </c>
      <c r="AH6" s="18">
        <f>SUM(AH7:AH36)</f>
        <v>116175.06999999999</v>
      </c>
      <c r="AI6" s="18">
        <f>SUM(AI7:AI33)</f>
        <v>0</v>
      </c>
      <c r="AJ6" s="18">
        <f>SUM(AJ7:AJ36)</f>
        <v>94979.49</v>
      </c>
      <c r="AK6" s="18">
        <f>SUM(AK7:AK36)</f>
        <v>144107.38</v>
      </c>
      <c r="AL6" s="18">
        <f>SUM(AL7:AL33)</f>
        <v>0</v>
      </c>
      <c r="AM6" s="18">
        <f>SUM(AM7:AM36)</f>
        <v>74410.820000000007</v>
      </c>
      <c r="AN6" s="18">
        <f>SUM(AN7:AN36)</f>
        <v>234237.12</v>
      </c>
      <c r="AO6" s="18">
        <f>SUM(AO7:AO33)</f>
        <v>0</v>
      </c>
      <c r="AP6" s="18">
        <f>SUM(AP7:AP36)</f>
        <v>71446.399999999994</v>
      </c>
      <c r="AQ6" s="18">
        <f>SUM(AQ7:AQ33)</f>
        <v>158504.82</v>
      </c>
      <c r="AR6" s="18">
        <f>SUM(AR7:AR33)</f>
        <v>0</v>
      </c>
      <c r="AS6" s="18">
        <f>SUM(AS7:AS36)</f>
        <v>70304.409999999989</v>
      </c>
      <c r="AT6" s="18">
        <f>SUM(AT7:AT36)</f>
        <v>166260.03</v>
      </c>
      <c r="AU6" s="18">
        <f>SUM(AU7:AU33)</f>
        <v>0</v>
      </c>
      <c r="AV6" s="18">
        <f>SUM(AV7:AV33)</f>
        <v>0</v>
      </c>
      <c r="AW6" s="18">
        <f>SUM(AW7:AW33)</f>
        <v>0</v>
      </c>
      <c r="AX6" s="18">
        <f>SUM(AX7:AX33)</f>
        <v>0</v>
      </c>
      <c r="AY6" s="18">
        <f>SUM(AY7:AY33)</f>
        <v>0</v>
      </c>
      <c r="AZ6" s="18">
        <f>SUM(AZ7:AZ33)</f>
        <v>0</v>
      </c>
      <c r="BA6" s="18">
        <f>SUM(BA7:BA33)</f>
        <v>0</v>
      </c>
      <c r="BB6" s="18">
        <f>SUM(BB7:BB33)</f>
        <v>0</v>
      </c>
      <c r="BC6" s="18">
        <f>SUM(BC7:BC33)</f>
        <v>0</v>
      </c>
      <c r="BD6" s="18">
        <f>SUM(BD7:BD33)</f>
        <v>0</v>
      </c>
      <c r="BE6" s="18">
        <f>SUM(BE7:BE33)</f>
        <v>0</v>
      </c>
      <c r="BF6" s="18">
        <f>SUM(BF7:BF33)</f>
        <v>0</v>
      </c>
      <c r="BG6" s="18">
        <f>SUM(BG7:BG33)</f>
        <v>0</v>
      </c>
      <c r="BH6" s="33"/>
      <c r="BI6" s="34"/>
      <c r="BJ6" s="34"/>
      <c r="BK6" s="34"/>
      <c r="BL6" s="34"/>
    </row>
    <row r="7" spans="1:64" ht="15.75" customHeight="1" x14ac:dyDescent="0.25">
      <c r="A7" s="35" t="s">
        <v>37</v>
      </c>
      <c r="B7" s="36" t="s">
        <v>38</v>
      </c>
      <c r="C7" s="161" t="s">
        <v>39</v>
      </c>
      <c r="D7" s="163" t="s">
        <v>194</v>
      </c>
      <c r="E7" s="22">
        <f>1366.43+19000+11614.11+15690.95+17000+17000+17000+125000+372041.86-70383-20000-20000</f>
        <v>485330.35</v>
      </c>
      <c r="F7" s="37">
        <v>33392.69</v>
      </c>
      <c r="G7" s="37"/>
      <c r="H7" s="38"/>
      <c r="I7" s="24">
        <f t="shared" ref="I7:K18" si="6">U7+X7+AA7+AD7+AG7+AJ7+AM7+AP7+AS7+AV7+AY7+BB7</f>
        <v>111835.90000000001</v>
      </c>
      <c r="J7" s="24">
        <f t="shared" si="6"/>
        <v>33392.69</v>
      </c>
      <c r="K7" s="24">
        <f t="shared" si="6"/>
        <v>0</v>
      </c>
      <c r="L7" s="24">
        <f t="shared" ref="L7:L29" si="7">IF(BE7=0,SUM(U7+X7+AA7+AD7+AG7+AJ7+AM7+AP7+AS7+AV7+AY7+BB7),BE7)</f>
        <v>111835.90000000001</v>
      </c>
      <c r="M7" s="24">
        <f t="shared" si="5"/>
        <v>33392.69</v>
      </c>
      <c r="N7" s="24">
        <f t="shared" si="5"/>
        <v>0</v>
      </c>
      <c r="O7" s="24">
        <f t="shared" ref="O7:P32" si="8">E7-I7</f>
        <v>373494.44999999995</v>
      </c>
      <c r="P7" s="24">
        <f t="shared" si="8"/>
        <v>0</v>
      </c>
      <c r="Q7" s="24">
        <f t="shared" ref="Q7:Q36" si="9">H7-K7</f>
        <v>0</v>
      </c>
      <c r="R7" s="26">
        <f t="shared" si="1"/>
        <v>0.23043252910105461</v>
      </c>
      <c r="S7" s="26">
        <f t="shared" si="1"/>
        <v>1</v>
      </c>
      <c r="T7" s="26" t="e">
        <f t="shared" si="2"/>
        <v>#DIV/0!</v>
      </c>
      <c r="U7" s="22"/>
      <c r="V7" s="22">
        <v>18090.669999999998</v>
      </c>
      <c r="W7" s="22"/>
      <c r="X7" s="39">
        <f>1366.43</f>
        <v>1366.43</v>
      </c>
      <c r="Y7" s="39">
        <v>15302.02</v>
      </c>
      <c r="Z7" s="22"/>
      <c r="AA7" s="22">
        <v>15086.89</v>
      </c>
      <c r="AB7" s="22"/>
      <c r="AC7" s="22"/>
      <c r="AD7" s="22">
        <f>16009.2-481.98</f>
        <v>15527.220000000001</v>
      </c>
      <c r="AE7" s="22"/>
      <c r="AF7" s="22"/>
      <c r="AG7" s="22"/>
      <c r="AH7" s="22"/>
      <c r="AI7" s="22"/>
      <c r="AJ7" s="22">
        <f>15690.95+14468.24-902.65-115.52</f>
        <v>29141.02</v>
      </c>
      <c r="AK7" s="22"/>
      <c r="AL7" s="22"/>
      <c r="AM7" s="22">
        <v>16382.32</v>
      </c>
      <c r="AN7" s="22"/>
      <c r="AO7" s="22"/>
      <c r="AP7" s="22">
        <v>17237.8</v>
      </c>
      <c r="AQ7" s="22"/>
      <c r="AR7" s="22"/>
      <c r="AS7" s="22">
        <v>17094.22</v>
      </c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7"/>
      <c r="BI7" s="28"/>
      <c r="BJ7" s="28"/>
      <c r="BK7" s="28"/>
      <c r="BL7" s="28"/>
    </row>
    <row r="8" spans="1:64" ht="15.75" customHeight="1" x14ac:dyDescent="0.25">
      <c r="A8" s="40"/>
      <c r="B8" s="36" t="s">
        <v>40</v>
      </c>
      <c r="C8" s="161" t="s">
        <v>41</v>
      </c>
      <c r="D8" s="164" t="s">
        <v>195</v>
      </c>
      <c r="E8" s="22">
        <v>2600</v>
      </c>
      <c r="F8" s="37">
        <f>236.29+3000</f>
        <v>3236.29</v>
      </c>
      <c r="G8" s="37"/>
      <c r="H8" s="38"/>
      <c r="I8" s="24">
        <f t="shared" si="6"/>
        <v>0</v>
      </c>
      <c r="J8" s="24">
        <f t="shared" si="6"/>
        <v>471.95000000000005</v>
      </c>
      <c r="K8" s="24">
        <f t="shared" si="6"/>
        <v>0</v>
      </c>
      <c r="L8" s="24">
        <f t="shared" si="7"/>
        <v>0</v>
      </c>
      <c r="M8" s="24">
        <f t="shared" si="5"/>
        <v>471.95000000000005</v>
      </c>
      <c r="N8" s="24">
        <f t="shared" si="5"/>
        <v>0</v>
      </c>
      <c r="O8" s="24">
        <f t="shared" si="8"/>
        <v>2600</v>
      </c>
      <c r="P8" s="24">
        <f t="shared" si="8"/>
        <v>2764.34</v>
      </c>
      <c r="Q8" s="24">
        <f t="shared" si="9"/>
        <v>0</v>
      </c>
      <c r="R8" s="26">
        <f t="shared" si="1"/>
        <v>0</v>
      </c>
      <c r="S8" s="26">
        <f t="shared" si="1"/>
        <v>0.14583056524600702</v>
      </c>
      <c r="T8" s="26" t="e">
        <f t="shared" si="2"/>
        <v>#DIV/0!</v>
      </c>
      <c r="U8" s="22"/>
      <c r="V8" s="22">
        <v>15.55</v>
      </c>
      <c r="W8" s="22"/>
      <c r="X8" s="39"/>
      <c r="Y8" s="39">
        <f>0.31+27.85</f>
        <v>28.16</v>
      </c>
      <c r="Z8" s="22"/>
      <c r="AA8" s="22"/>
      <c r="AB8" s="22">
        <f>122.06</f>
        <v>122.06</v>
      </c>
      <c r="AC8" s="22"/>
      <c r="AD8" s="22"/>
      <c r="AE8" s="22"/>
      <c r="AF8" s="22"/>
      <c r="AG8" s="22"/>
      <c r="AH8" s="22"/>
      <c r="AI8" s="22"/>
      <c r="AJ8" s="22"/>
      <c r="AK8" s="22">
        <f>205.45</f>
        <v>205.45</v>
      </c>
      <c r="AL8" s="22"/>
      <c r="AM8" s="22"/>
      <c r="AN8" s="22"/>
      <c r="AO8" s="22"/>
      <c r="AP8" s="22"/>
      <c r="AQ8" s="22">
        <v>100.73</v>
      </c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7"/>
      <c r="BI8" s="28"/>
      <c r="BJ8" s="28"/>
      <c r="BK8" s="28"/>
      <c r="BL8" s="28"/>
    </row>
    <row r="9" spans="1:64" ht="15.75" customHeight="1" x14ac:dyDescent="0.25">
      <c r="A9" s="40" t="s">
        <v>42</v>
      </c>
      <c r="B9" s="36" t="s">
        <v>43</v>
      </c>
      <c r="C9" s="161" t="s">
        <v>44</v>
      </c>
      <c r="D9" s="164" t="s">
        <v>196</v>
      </c>
      <c r="E9" s="22">
        <f>21932.34+21932.34+21932.34+21932.34+21932.34+21932.34+43864.68+175458.72</f>
        <v>350917.44</v>
      </c>
      <c r="F9" s="37">
        <v>43864.68</v>
      </c>
      <c r="G9" s="37"/>
      <c r="H9" s="38"/>
      <c r="I9" s="24">
        <f t="shared" si="6"/>
        <v>153526.38</v>
      </c>
      <c r="J9" s="24">
        <f t="shared" si="6"/>
        <v>43864.68</v>
      </c>
      <c r="K9" s="24">
        <f t="shared" si="6"/>
        <v>0</v>
      </c>
      <c r="L9" s="24">
        <f t="shared" si="7"/>
        <v>153526.38</v>
      </c>
      <c r="M9" s="24">
        <f t="shared" si="5"/>
        <v>43864.68</v>
      </c>
      <c r="N9" s="24">
        <f t="shared" si="5"/>
        <v>0</v>
      </c>
      <c r="O9" s="24">
        <f t="shared" si="8"/>
        <v>197391.06</v>
      </c>
      <c r="P9" s="24">
        <f t="shared" si="8"/>
        <v>0</v>
      </c>
      <c r="Q9" s="24">
        <f t="shared" si="9"/>
        <v>0</v>
      </c>
      <c r="R9" s="26">
        <f t="shared" si="1"/>
        <v>0.4375</v>
      </c>
      <c r="S9" s="26">
        <f t="shared" si="1"/>
        <v>1</v>
      </c>
      <c r="T9" s="26" t="e">
        <f t="shared" si="2"/>
        <v>#DIV/0!</v>
      </c>
      <c r="U9" s="22"/>
      <c r="V9" s="22">
        <v>21932.34</v>
      </c>
      <c r="W9" s="22"/>
      <c r="X9" s="39"/>
      <c r="Y9" s="39">
        <f>43864.68-V9</f>
        <v>21932.34</v>
      </c>
      <c r="Z9" s="22"/>
      <c r="AA9" s="22">
        <v>21932.34</v>
      </c>
      <c r="AB9" s="22"/>
      <c r="AC9" s="22"/>
      <c r="AD9" s="22">
        <v>21932.34</v>
      </c>
      <c r="AE9" s="22"/>
      <c r="AF9" s="22"/>
      <c r="AG9" s="22">
        <f>21932.34</f>
        <v>21932.34</v>
      </c>
      <c r="AH9" s="22"/>
      <c r="AI9" s="22"/>
      <c r="AJ9" s="22">
        <f>21932.34</f>
        <v>21932.34</v>
      </c>
      <c r="AK9" s="22"/>
      <c r="AL9" s="22"/>
      <c r="AM9" s="22">
        <v>21932.34</v>
      </c>
      <c r="AN9" s="22"/>
      <c r="AO9" s="22"/>
      <c r="AP9" s="22">
        <v>21932.34</v>
      </c>
      <c r="AQ9" s="22"/>
      <c r="AR9" s="22"/>
      <c r="AS9" s="22">
        <v>21932.34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7"/>
      <c r="BI9" s="28"/>
      <c r="BJ9" s="28"/>
      <c r="BK9" s="28"/>
      <c r="BL9" s="28"/>
    </row>
    <row r="10" spans="1:64" ht="15.75" customHeight="1" x14ac:dyDescent="0.25">
      <c r="A10" s="40" t="s">
        <v>45</v>
      </c>
      <c r="B10" s="36" t="s">
        <v>46</v>
      </c>
      <c r="C10" s="161" t="s">
        <v>47</v>
      </c>
      <c r="D10" s="164" t="s">
        <v>197</v>
      </c>
      <c r="E10" s="22">
        <f>10747.76+19190.52+22508.68+20020.06+20020.06+20020.06+200200.6+320320.96</f>
        <v>633028.69999999995</v>
      </c>
      <c r="F10" s="37">
        <v>38381.040000000001</v>
      </c>
      <c r="G10" s="37"/>
      <c r="H10" s="38"/>
      <c r="I10" s="24">
        <f>U10+X10+AA10+AD10+AG10+AJ10+AM10+AP10+AS10+AV10+AY10+BB10</f>
        <v>132527.20000000001</v>
      </c>
      <c r="J10" s="24">
        <f>V10+Y10+AE10+AK10+AN10+AQ10+AT10+AW10+AZ10+BC10</f>
        <v>38381.040000000001</v>
      </c>
      <c r="K10" s="24">
        <f>W10+Z10+AC10+AF10+AI10+AL10+AO10+AR10+AU10+AX10+BA10+BD10</f>
        <v>0</v>
      </c>
      <c r="L10" s="24">
        <f>IF(BE10=0,SUM(U10+X10+AA10+AD10+AG10+AJ10+AM10+AP10+AS10+AV10+AY10+BB10),BE10)</f>
        <v>132527.20000000001</v>
      </c>
      <c r="M10" s="24">
        <f>IF(BF10=0,SUM(V10+Y10+AE10+AK10+AN10+AQ10+AT10+AW10+AZ10+BC10),BF10)</f>
        <v>38381.040000000001</v>
      </c>
      <c r="N10" s="24">
        <f t="shared" si="5"/>
        <v>0</v>
      </c>
      <c r="O10" s="24">
        <f t="shared" si="8"/>
        <v>500501.49999999994</v>
      </c>
      <c r="P10" s="24">
        <f t="shared" si="8"/>
        <v>0</v>
      </c>
      <c r="Q10" s="24">
        <f t="shared" si="9"/>
        <v>0</v>
      </c>
      <c r="R10" s="26">
        <f t="shared" ref="R10:S32" si="10">I10/E10</f>
        <v>0.20935417304144349</v>
      </c>
      <c r="S10" s="26">
        <f t="shared" si="10"/>
        <v>1</v>
      </c>
      <c r="T10" s="26" t="e">
        <f t="shared" si="2"/>
        <v>#DIV/0!</v>
      </c>
      <c r="U10" s="22"/>
      <c r="V10" s="22">
        <f>19190.52</f>
        <v>19190.52</v>
      </c>
      <c r="W10" s="42"/>
      <c r="X10" s="39"/>
      <c r="Y10" s="39">
        <v>19190.52</v>
      </c>
      <c r="Z10" s="22"/>
      <c r="AA10" s="22">
        <v>10747.76</v>
      </c>
      <c r="AB10" s="22"/>
      <c r="AC10" s="22"/>
      <c r="AD10" s="22">
        <v>0</v>
      </c>
      <c r="AE10" s="22"/>
      <c r="AF10" s="22"/>
      <c r="AG10" s="22">
        <f>19190.52+22508.68</f>
        <v>41699.199999999997</v>
      </c>
      <c r="AH10" s="43"/>
      <c r="AI10" s="22"/>
      <c r="AJ10" s="22">
        <f>20020.06</f>
        <v>20020.060000000001</v>
      </c>
      <c r="AK10" s="22"/>
      <c r="AL10" s="22"/>
      <c r="AM10" s="22">
        <v>20020.060000000001</v>
      </c>
      <c r="AN10" s="22"/>
      <c r="AO10" s="22"/>
      <c r="AP10" s="22">
        <v>20020.060000000001</v>
      </c>
      <c r="AQ10" s="22"/>
      <c r="AR10" s="22"/>
      <c r="AS10" s="22">
        <v>20020.060000000001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7"/>
      <c r="BI10" s="28"/>
      <c r="BJ10" s="28"/>
      <c r="BK10" s="28"/>
      <c r="BL10" s="28"/>
    </row>
    <row r="11" spans="1:64" ht="15.75" x14ac:dyDescent="0.25">
      <c r="A11" s="40" t="s">
        <v>48</v>
      </c>
      <c r="B11" s="36" t="s">
        <v>49</v>
      </c>
      <c r="C11" s="161" t="s">
        <v>50</v>
      </c>
      <c r="D11" s="160" t="s">
        <v>198</v>
      </c>
      <c r="E11" s="22">
        <f>3269.52+3269.52+3902.04+3427.65+3427.65+3427.65+17138.25+6855.3</f>
        <v>44717.58</v>
      </c>
      <c r="F11" s="37">
        <v>6539.04</v>
      </c>
      <c r="G11" s="37"/>
      <c r="H11" s="38"/>
      <c r="I11" s="24">
        <f t="shared" si="6"/>
        <v>24151.680000000004</v>
      </c>
      <c r="J11" s="24">
        <f>V11+Y11+AB11+AE11+AH11+AK11+AN11+AQ11+AT11+AW11+AZ11+BC11</f>
        <v>6539.04</v>
      </c>
      <c r="K11" s="24">
        <f t="shared" ref="K11:K29" si="11">W11+Z11+AC11+AF11+AI11+AL11+AO11+AR11+AU11+AX11+BA11+BD11</f>
        <v>0</v>
      </c>
      <c r="L11" s="24">
        <f t="shared" si="7"/>
        <v>24151.680000000004</v>
      </c>
      <c r="M11" s="24">
        <f>IF(BF11=0,SUM(V11+Y11+AA11+AE11+AH11+AK11+AN11+AQ11+AT11+AW11+AZ11+BC11),BF11)</f>
        <v>9808.56</v>
      </c>
      <c r="N11" s="24">
        <f t="shared" si="5"/>
        <v>0</v>
      </c>
      <c r="O11" s="24">
        <f t="shared" si="8"/>
        <v>20565.899999999998</v>
      </c>
      <c r="P11" s="24">
        <f>F11-J11</f>
        <v>0</v>
      </c>
      <c r="Q11" s="24">
        <f t="shared" si="9"/>
        <v>0</v>
      </c>
      <c r="R11" s="26">
        <f t="shared" si="10"/>
        <v>0.54009362760686075</v>
      </c>
      <c r="S11" s="26">
        <f t="shared" si="10"/>
        <v>1</v>
      </c>
      <c r="T11" s="26" t="e">
        <f t="shared" si="2"/>
        <v>#DIV/0!</v>
      </c>
      <c r="U11" s="22"/>
      <c r="V11" s="22">
        <v>3269.52</v>
      </c>
      <c r="W11" s="22"/>
      <c r="X11" s="39"/>
      <c r="Y11" s="39">
        <v>3269.52</v>
      </c>
      <c r="Z11" s="22"/>
      <c r="AA11" s="22">
        <v>3269.52</v>
      </c>
      <c r="AB11" s="43"/>
      <c r="AC11" s="22"/>
      <c r="AD11" s="22">
        <v>3269.52</v>
      </c>
      <c r="AE11" s="22"/>
      <c r="AF11" s="22"/>
      <c r="AG11" s="22">
        <f>3902.04</f>
        <v>3902.04</v>
      </c>
      <c r="AH11" s="22"/>
      <c r="AI11" s="22"/>
      <c r="AJ11" s="22">
        <v>3427.65</v>
      </c>
      <c r="AK11" s="22"/>
      <c r="AL11" s="22"/>
      <c r="AM11" s="22">
        <v>3427.65</v>
      </c>
      <c r="AN11" s="22"/>
      <c r="AO11" s="22"/>
      <c r="AP11" s="22">
        <v>3427.65</v>
      </c>
      <c r="AQ11" s="22"/>
      <c r="AR11" s="22"/>
      <c r="AS11" s="22">
        <v>3427.65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7"/>
      <c r="BI11" s="28"/>
      <c r="BJ11" s="28"/>
      <c r="BK11" s="28"/>
      <c r="BL11" s="28"/>
    </row>
    <row r="12" spans="1:64" ht="15.75" customHeight="1" x14ac:dyDescent="0.25">
      <c r="A12" s="41" t="s">
        <v>51</v>
      </c>
      <c r="B12" s="36" t="s">
        <v>52</v>
      </c>
      <c r="C12" s="161" t="s">
        <v>53</v>
      </c>
      <c r="D12" s="160" t="s">
        <v>199</v>
      </c>
      <c r="E12" s="22">
        <f>170.69+1829.31</f>
        <v>2000</v>
      </c>
      <c r="F12" s="37">
        <v>1870.11</v>
      </c>
      <c r="G12" s="37"/>
      <c r="H12" s="38"/>
      <c r="I12" s="24">
        <f t="shared" si="6"/>
        <v>0</v>
      </c>
      <c r="J12" s="24">
        <f t="shared" si="6"/>
        <v>0</v>
      </c>
      <c r="K12" s="24">
        <f t="shared" si="11"/>
        <v>0</v>
      </c>
      <c r="L12" s="24">
        <f t="shared" si="7"/>
        <v>0</v>
      </c>
      <c r="M12" s="24">
        <f t="shared" si="5"/>
        <v>0</v>
      </c>
      <c r="N12" s="24">
        <f t="shared" si="5"/>
        <v>0</v>
      </c>
      <c r="O12" s="24">
        <f t="shared" si="8"/>
        <v>2000</v>
      </c>
      <c r="P12" s="24">
        <f t="shared" si="8"/>
        <v>1870.11</v>
      </c>
      <c r="Q12" s="24">
        <f t="shared" si="9"/>
        <v>0</v>
      </c>
      <c r="R12" s="26">
        <f t="shared" si="10"/>
        <v>0</v>
      </c>
      <c r="S12" s="26">
        <f t="shared" si="10"/>
        <v>0</v>
      </c>
      <c r="T12" s="26" t="e">
        <f t="shared" si="2"/>
        <v>#DIV/0!</v>
      </c>
      <c r="U12" s="22"/>
      <c r="V12" s="22"/>
      <c r="W12" s="22"/>
      <c r="X12" s="39"/>
      <c r="Y12" s="39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7"/>
      <c r="BI12" s="28"/>
      <c r="BJ12" s="28"/>
      <c r="BK12" s="28"/>
      <c r="BL12" s="28"/>
    </row>
    <row r="13" spans="1:64" ht="15.75" customHeight="1" x14ac:dyDescent="0.25">
      <c r="A13" s="41" t="s">
        <v>54</v>
      </c>
      <c r="B13" s="36" t="s">
        <v>55</v>
      </c>
      <c r="C13" s="161" t="s">
        <v>50</v>
      </c>
      <c r="D13" s="164" t="s">
        <v>200</v>
      </c>
      <c r="E13" s="22">
        <f>3725.61+3725.61+3725.61+3725.61+3725.61+3725.61+18628.05+7451.22</f>
        <v>48432.93</v>
      </c>
      <c r="F13" s="37">
        <v>11176.83</v>
      </c>
      <c r="G13" s="37"/>
      <c r="H13" s="38"/>
      <c r="I13" s="24">
        <f>U13+X13+AA13+AD13+AG13+AJ13+AM13+AP13+AS13+AV13+AY13+BB13</f>
        <v>26079.27</v>
      </c>
      <c r="J13" s="24">
        <f>V13+Y13+AB13+AE13+AH13+AK13+AN13+AQ13+AT13+AW13+AZ13+BC13</f>
        <v>11176.83</v>
      </c>
      <c r="K13" s="24">
        <f t="shared" si="11"/>
        <v>0</v>
      </c>
      <c r="L13" s="24">
        <f t="shared" si="7"/>
        <v>26079.27</v>
      </c>
      <c r="M13" s="24">
        <f>IF(BF13=0,SUM(V13+Y13+AA13+AE13+AH13+AK13+AN13+AQ13+AT13+AW13+AZ13+BC13),BF13)</f>
        <v>7451.22</v>
      </c>
      <c r="N13" s="24">
        <f t="shared" si="5"/>
        <v>0</v>
      </c>
      <c r="O13" s="24">
        <f t="shared" si="8"/>
        <v>22353.66</v>
      </c>
      <c r="P13" s="24">
        <f t="shared" si="8"/>
        <v>0</v>
      </c>
      <c r="Q13" s="24">
        <f t="shared" si="9"/>
        <v>0</v>
      </c>
      <c r="R13" s="26">
        <f t="shared" si="10"/>
        <v>0.53846153846153844</v>
      </c>
      <c r="S13" s="26">
        <f t="shared" si="10"/>
        <v>1</v>
      </c>
      <c r="T13" s="26" t="e">
        <f t="shared" si="2"/>
        <v>#DIV/0!</v>
      </c>
      <c r="U13" s="22"/>
      <c r="V13" s="22">
        <f>3725.61+3725.61</f>
        <v>7451.22</v>
      </c>
      <c r="W13" s="22"/>
      <c r="X13" s="39"/>
      <c r="Y13" s="39"/>
      <c r="Z13" s="22"/>
      <c r="AA13" s="22"/>
      <c r="AB13" s="22">
        <v>3725.61</v>
      </c>
      <c r="AC13" s="22"/>
      <c r="AD13" s="22">
        <v>3725.61</v>
      </c>
      <c r="AE13" s="22"/>
      <c r="AF13" s="22"/>
      <c r="AG13" s="22">
        <f>3725.61+3725.61</f>
        <v>7451.22</v>
      </c>
      <c r="AH13" s="22"/>
      <c r="AI13" s="22"/>
      <c r="AJ13" s="22">
        <v>3725.61</v>
      </c>
      <c r="AK13" s="22"/>
      <c r="AL13" s="22"/>
      <c r="AM13" s="22">
        <v>3725.61</v>
      </c>
      <c r="AN13" s="22"/>
      <c r="AO13" s="22"/>
      <c r="AP13" s="22">
        <v>3725.61</v>
      </c>
      <c r="AQ13" s="22"/>
      <c r="AR13" s="22"/>
      <c r="AS13" s="22">
        <v>3725.61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7"/>
      <c r="BI13" s="28"/>
      <c r="BJ13" s="28"/>
      <c r="BK13" s="28"/>
      <c r="BL13" s="28"/>
    </row>
    <row r="14" spans="1:64" ht="15.75" x14ac:dyDescent="0.25">
      <c r="A14" s="40" t="s">
        <v>56</v>
      </c>
      <c r="B14" s="36" t="s">
        <v>57</v>
      </c>
      <c r="C14" s="161" t="s">
        <v>50</v>
      </c>
      <c r="D14" s="164" t="s">
        <v>201</v>
      </c>
      <c r="E14" s="22">
        <f>3176.78+3133.1+3133.1+3133.1+3133.1+3133.1+15655.5+6266.2</f>
        <v>40763.979999999996</v>
      </c>
      <c r="F14" s="37">
        <v>6199</v>
      </c>
      <c r="G14" s="37"/>
      <c r="H14" s="38"/>
      <c r="I14" s="24">
        <f t="shared" si="6"/>
        <v>21975.379999999997</v>
      </c>
      <c r="J14" s="24">
        <f>V14+Y14+AB14+AE14+AH14+AK14+AN14+AQ14+AT14+AW14+AZ14+BC14</f>
        <v>6199</v>
      </c>
      <c r="K14" s="24">
        <f t="shared" si="11"/>
        <v>0</v>
      </c>
      <c r="L14" s="24">
        <f t="shared" si="7"/>
        <v>21975.379999999997</v>
      </c>
      <c r="M14" s="24">
        <f>IF(BF14=0,SUM(V14+Y14+AA14+AE14+AH14+AK14+AN14+AQ14+AT14+AW14+AZ14+BC14),BF14)</f>
        <v>9375.7800000000007</v>
      </c>
      <c r="N14" s="24">
        <f t="shared" si="5"/>
        <v>0</v>
      </c>
      <c r="O14" s="24">
        <f t="shared" si="8"/>
        <v>18788.599999999999</v>
      </c>
      <c r="P14" s="24">
        <f t="shared" si="8"/>
        <v>0</v>
      </c>
      <c r="Q14" s="24">
        <f t="shared" si="9"/>
        <v>0</v>
      </c>
      <c r="R14" s="26">
        <f t="shared" si="10"/>
        <v>0.5390881852066457</v>
      </c>
      <c r="S14" s="26">
        <f t="shared" si="10"/>
        <v>1</v>
      </c>
      <c r="T14" s="26" t="e">
        <f t="shared" si="2"/>
        <v>#DIV/0!</v>
      </c>
      <c r="U14" s="22"/>
      <c r="V14" s="22">
        <v>3099.5</v>
      </c>
      <c r="W14" s="22"/>
      <c r="X14" s="39"/>
      <c r="Y14" s="39">
        <v>3099.5</v>
      </c>
      <c r="Z14" s="22"/>
      <c r="AA14" s="22">
        <v>3176.78</v>
      </c>
      <c r="AB14" s="44"/>
      <c r="AC14" s="45"/>
      <c r="AD14" s="22">
        <v>3133.1</v>
      </c>
      <c r="AE14" s="45"/>
      <c r="AF14" s="45"/>
      <c r="AG14" s="22">
        <v>3133.1</v>
      </c>
      <c r="AH14" s="45"/>
      <c r="AI14" s="45"/>
      <c r="AJ14" s="22">
        <v>3133.1</v>
      </c>
      <c r="AK14" s="22"/>
      <c r="AL14" s="22"/>
      <c r="AM14" s="22">
        <v>3133.1</v>
      </c>
      <c r="AN14" s="22"/>
      <c r="AO14" s="22"/>
      <c r="AP14" s="22">
        <v>3133.1</v>
      </c>
      <c r="AQ14" s="22"/>
      <c r="AR14" s="22"/>
      <c r="AS14" s="22">
        <v>3133.1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7"/>
      <c r="BI14" s="28"/>
      <c r="BJ14" s="28"/>
      <c r="BK14" s="28"/>
      <c r="BL14" s="28"/>
    </row>
    <row r="15" spans="1:64" ht="15.75" customHeight="1" x14ac:dyDescent="0.25">
      <c r="A15" s="35"/>
      <c r="B15" s="36" t="s">
        <v>58</v>
      </c>
      <c r="C15" s="161" t="s">
        <v>59</v>
      </c>
      <c r="D15" s="160" t="s">
        <v>202</v>
      </c>
      <c r="E15" s="22"/>
      <c r="F15" s="37">
        <v>5047.3999999999996</v>
      </c>
      <c r="G15" s="37"/>
      <c r="H15" s="38"/>
      <c r="I15" s="24">
        <f t="shared" si="6"/>
        <v>0</v>
      </c>
      <c r="J15" s="24">
        <f t="shared" si="6"/>
        <v>5047.3999999999996</v>
      </c>
      <c r="K15" s="24">
        <f t="shared" si="11"/>
        <v>0</v>
      </c>
      <c r="L15" s="24">
        <f t="shared" si="7"/>
        <v>0</v>
      </c>
      <c r="M15" s="24">
        <f t="shared" si="5"/>
        <v>5047.3999999999996</v>
      </c>
      <c r="N15" s="24">
        <f t="shared" si="5"/>
        <v>0</v>
      </c>
      <c r="O15" s="24">
        <f t="shared" si="8"/>
        <v>0</v>
      </c>
      <c r="P15" s="24">
        <f t="shared" si="8"/>
        <v>0</v>
      </c>
      <c r="Q15" s="24">
        <f t="shared" si="9"/>
        <v>0</v>
      </c>
      <c r="R15" s="26" t="e">
        <f t="shared" si="10"/>
        <v>#DIV/0!</v>
      </c>
      <c r="S15" s="26">
        <f t="shared" si="10"/>
        <v>1</v>
      </c>
      <c r="T15" s="26" t="e">
        <f t="shared" si="2"/>
        <v>#DIV/0!</v>
      </c>
      <c r="U15" s="22"/>
      <c r="V15" s="22"/>
      <c r="W15" s="22"/>
      <c r="X15" s="39"/>
      <c r="Y15" s="39"/>
      <c r="Z15" s="22"/>
      <c r="AA15" s="22"/>
      <c r="AB15" s="22"/>
      <c r="AC15" s="22"/>
      <c r="AD15" s="22"/>
      <c r="AE15" s="22">
        <v>5047.3999999999996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7"/>
      <c r="BI15" s="28"/>
      <c r="BJ15" s="28"/>
      <c r="BK15" s="28"/>
      <c r="BL15" s="28"/>
    </row>
    <row r="16" spans="1:64" ht="15.75" customHeight="1" x14ac:dyDescent="0.25">
      <c r="A16" s="35" t="s">
        <v>60</v>
      </c>
      <c r="B16" s="36"/>
      <c r="C16" s="161" t="s">
        <v>61</v>
      </c>
      <c r="D16" s="164" t="s">
        <v>203</v>
      </c>
      <c r="E16" s="22">
        <v>2235.71</v>
      </c>
      <c r="F16" s="37"/>
      <c r="G16" s="37"/>
      <c r="H16" s="38"/>
      <c r="I16" s="24">
        <f t="shared" si="6"/>
        <v>2235.71</v>
      </c>
      <c r="J16" s="24">
        <f t="shared" si="6"/>
        <v>0</v>
      </c>
      <c r="K16" s="24">
        <f t="shared" si="11"/>
        <v>0</v>
      </c>
      <c r="L16" s="24">
        <f t="shared" si="7"/>
        <v>2235.71</v>
      </c>
      <c r="M16" s="24">
        <f t="shared" si="5"/>
        <v>0</v>
      </c>
      <c r="N16" s="24">
        <f t="shared" si="5"/>
        <v>0</v>
      </c>
      <c r="O16" s="24">
        <f t="shared" si="8"/>
        <v>0</v>
      </c>
      <c r="P16" s="24">
        <f t="shared" si="8"/>
        <v>0</v>
      </c>
      <c r="Q16" s="24">
        <f t="shared" si="9"/>
        <v>0</v>
      </c>
      <c r="R16" s="26">
        <f t="shared" si="10"/>
        <v>1</v>
      </c>
      <c r="S16" s="26" t="e">
        <f t="shared" si="10"/>
        <v>#DIV/0!</v>
      </c>
      <c r="T16" s="26" t="e">
        <f t="shared" si="2"/>
        <v>#DIV/0!</v>
      </c>
      <c r="U16" s="22"/>
      <c r="V16" s="22"/>
      <c r="W16" s="22"/>
      <c r="X16" s="39"/>
      <c r="Y16" s="3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>
        <v>2235.71</v>
      </c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7"/>
      <c r="BI16" s="28"/>
      <c r="BJ16" s="28"/>
      <c r="BK16" s="28"/>
      <c r="BL16" s="28"/>
    </row>
    <row r="17" spans="1:64" ht="15.75" customHeight="1" x14ac:dyDescent="0.25">
      <c r="A17" s="40"/>
      <c r="B17" s="36" t="s">
        <v>62</v>
      </c>
      <c r="C17" s="161" t="s">
        <v>61</v>
      </c>
      <c r="D17" s="160" t="s">
        <v>63</v>
      </c>
      <c r="E17" s="22"/>
      <c r="F17" s="37">
        <v>1800</v>
      </c>
      <c r="G17" s="37"/>
      <c r="H17" s="38"/>
      <c r="I17" s="24">
        <f t="shared" si="6"/>
        <v>0</v>
      </c>
      <c r="J17" s="24">
        <f t="shared" si="6"/>
        <v>1800</v>
      </c>
      <c r="K17" s="24">
        <f t="shared" si="11"/>
        <v>0</v>
      </c>
      <c r="L17" s="24">
        <f t="shared" si="7"/>
        <v>0</v>
      </c>
      <c r="M17" s="24">
        <f t="shared" si="5"/>
        <v>1800</v>
      </c>
      <c r="N17" s="24">
        <f t="shared" si="5"/>
        <v>0</v>
      </c>
      <c r="O17" s="24">
        <f t="shared" si="8"/>
        <v>0</v>
      </c>
      <c r="P17" s="24">
        <f t="shared" si="8"/>
        <v>0</v>
      </c>
      <c r="Q17" s="24">
        <f t="shared" si="9"/>
        <v>0</v>
      </c>
      <c r="R17" s="26" t="e">
        <f t="shared" si="10"/>
        <v>#DIV/0!</v>
      </c>
      <c r="S17" s="26">
        <f t="shared" si="10"/>
        <v>1</v>
      </c>
      <c r="T17" s="26" t="e">
        <f t="shared" si="2"/>
        <v>#DIV/0!</v>
      </c>
      <c r="U17" s="22"/>
      <c r="V17" s="46">
        <v>1800</v>
      </c>
      <c r="W17" s="22"/>
      <c r="X17" s="39"/>
      <c r="Y17" s="39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7"/>
      <c r="BI17" s="28"/>
      <c r="BJ17" s="28"/>
      <c r="BK17" s="28"/>
      <c r="BL17" s="28"/>
    </row>
    <row r="18" spans="1:64" ht="15.75" customHeight="1" x14ac:dyDescent="0.25">
      <c r="A18" s="35" t="s">
        <v>64</v>
      </c>
      <c r="B18" s="36"/>
      <c r="C18" s="161" t="s">
        <v>59</v>
      </c>
      <c r="D18" s="160" t="s">
        <v>204</v>
      </c>
      <c r="E18" s="22">
        <v>2515</v>
      </c>
      <c r="F18" s="37"/>
      <c r="G18" s="37"/>
      <c r="H18" s="38"/>
      <c r="I18" s="24">
        <f t="shared" si="6"/>
        <v>0</v>
      </c>
      <c r="J18" s="24">
        <f t="shared" si="6"/>
        <v>0</v>
      </c>
      <c r="K18" s="24">
        <f t="shared" si="11"/>
        <v>0</v>
      </c>
      <c r="L18" s="24">
        <f t="shared" si="7"/>
        <v>0</v>
      </c>
      <c r="M18" s="24">
        <f t="shared" si="5"/>
        <v>0</v>
      </c>
      <c r="N18" s="24">
        <f t="shared" si="5"/>
        <v>0</v>
      </c>
      <c r="O18" s="24">
        <f t="shared" si="8"/>
        <v>2515</v>
      </c>
      <c r="P18" s="24">
        <f t="shared" si="8"/>
        <v>0</v>
      </c>
      <c r="Q18" s="24">
        <f t="shared" si="9"/>
        <v>0</v>
      </c>
      <c r="R18" s="26">
        <f t="shared" si="10"/>
        <v>0</v>
      </c>
      <c r="S18" s="26" t="e">
        <f t="shared" si="10"/>
        <v>#DIV/0!</v>
      </c>
      <c r="T18" s="26" t="e">
        <f t="shared" si="2"/>
        <v>#DIV/0!</v>
      </c>
      <c r="U18" s="22"/>
      <c r="V18" s="22"/>
      <c r="W18" s="22"/>
      <c r="X18" s="39"/>
      <c r="Y18" s="39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7"/>
      <c r="BI18" s="28"/>
      <c r="BJ18" s="28"/>
      <c r="BK18" s="28"/>
      <c r="BL18" s="28"/>
    </row>
    <row r="19" spans="1:64" ht="15.75" customHeight="1" x14ac:dyDescent="0.25">
      <c r="A19" s="35"/>
      <c r="B19" s="36"/>
      <c r="C19" s="161" t="s">
        <v>59</v>
      </c>
      <c r="D19" s="160" t="s">
        <v>205</v>
      </c>
      <c r="E19" s="22">
        <f>8367.9</f>
        <v>8367.9</v>
      </c>
      <c r="F19" s="37"/>
      <c r="G19" s="37"/>
      <c r="H19" s="38"/>
      <c r="I19" s="24">
        <f t="shared" ref="I19:J29" si="12">U19+X19+AA19+AD19+AG19+AJ19+AM19+AP19+AS19+AV19+AY19+BB19</f>
        <v>0</v>
      </c>
      <c r="J19" s="24">
        <f t="shared" si="12"/>
        <v>0</v>
      </c>
      <c r="K19" s="24">
        <f t="shared" si="11"/>
        <v>0</v>
      </c>
      <c r="L19" s="24">
        <f t="shared" si="7"/>
        <v>0</v>
      </c>
      <c r="M19" s="24">
        <f t="shared" si="5"/>
        <v>0</v>
      </c>
      <c r="N19" s="24">
        <f t="shared" si="5"/>
        <v>0</v>
      </c>
      <c r="O19" s="24">
        <f t="shared" si="8"/>
        <v>8367.9</v>
      </c>
      <c r="P19" s="24">
        <f t="shared" si="8"/>
        <v>0</v>
      </c>
      <c r="Q19" s="24">
        <f t="shared" si="9"/>
        <v>0</v>
      </c>
      <c r="R19" s="26">
        <f t="shared" si="10"/>
        <v>0</v>
      </c>
      <c r="S19" s="26" t="e">
        <f t="shared" si="10"/>
        <v>#DIV/0!</v>
      </c>
      <c r="T19" s="26" t="e">
        <f t="shared" si="2"/>
        <v>#DIV/0!</v>
      </c>
      <c r="U19" s="22"/>
      <c r="V19" s="22"/>
      <c r="W19" s="22"/>
      <c r="X19" s="39"/>
      <c r="Y19" s="39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7"/>
      <c r="BI19" s="28"/>
      <c r="BJ19" s="28"/>
      <c r="BK19" s="28"/>
      <c r="BL19" s="28"/>
    </row>
    <row r="20" spans="1:64" ht="15.75" customHeight="1" x14ac:dyDescent="0.25">
      <c r="A20" s="35"/>
      <c r="B20" s="36"/>
      <c r="C20" s="161" t="s">
        <v>53</v>
      </c>
      <c r="D20" s="160" t="s">
        <v>65</v>
      </c>
      <c r="E20" s="22">
        <v>3374.7</v>
      </c>
      <c r="F20" s="37"/>
      <c r="G20" s="37"/>
      <c r="H20" s="38"/>
      <c r="I20" s="24">
        <f t="shared" si="12"/>
        <v>0</v>
      </c>
      <c r="J20" s="24">
        <f t="shared" si="12"/>
        <v>0</v>
      </c>
      <c r="K20" s="24">
        <f t="shared" si="11"/>
        <v>0</v>
      </c>
      <c r="L20" s="24">
        <f t="shared" si="7"/>
        <v>0</v>
      </c>
      <c r="M20" s="24">
        <f t="shared" si="5"/>
        <v>0</v>
      </c>
      <c r="N20" s="24">
        <f t="shared" si="5"/>
        <v>0</v>
      </c>
      <c r="O20" s="24">
        <f t="shared" si="8"/>
        <v>3374.7</v>
      </c>
      <c r="P20" s="24">
        <f t="shared" si="8"/>
        <v>0</v>
      </c>
      <c r="Q20" s="24">
        <f t="shared" si="9"/>
        <v>0</v>
      </c>
      <c r="R20" s="26">
        <f t="shared" si="10"/>
        <v>0</v>
      </c>
      <c r="S20" s="26" t="e">
        <f t="shared" si="10"/>
        <v>#DIV/0!</v>
      </c>
      <c r="T20" s="26" t="e">
        <f t="shared" si="2"/>
        <v>#DIV/0!</v>
      </c>
      <c r="U20" s="22"/>
      <c r="V20" s="22"/>
      <c r="W20" s="22"/>
      <c r="X20" s="39"/>
      <c r="Y20" s="3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7"/>
      <c r="BI20" s="28"/>
      <c r="BJ20" s="28"/>
      <c r="BK20" s="28"/>
      <c r="BL20" s="28"/>
    </row>
    <row r="21" spans="1:64" ht="15.75" customHeight="1" x14ac:dyDescent="0.25">
      <c r="A21" s="40"/>
      <c r="B21" s="36" t="s">
        <v>66</v>
      </c>
      <c r="C21" s="161" t="s">
        <v>67</v>
      </c>
      <c r="D21" s="160" t="s">
        <v>68</v>
      </c>
      <c r="E21" s="22">
        <v>0</v>
      </c>
      <c r="F21" s="37">
        <f>9000</f>
        <v>9000</v>
      </c>
      <c r="G21" s="37"/>
      <c r="H21" s="38"/>
      <c r="I21" s="24">
        <f t="shared" si="12"/>
        <v>0</v>
      </c>
      <c r="J21" s="24">
        <f t="shared" si="12"/>
        <v>9000</v>
      </c>
      <c r="K21" s="24">
        <f t="shared" si="11"/>
        <v>0</v>
      </c>
      <c r="L21" s="24">
        <f t="shared" si="7"/>
        <v>0</v>
      </c>
      <c r="M21" s="24">
        <f t="shared" si="5"/>
        <v>9000</v>
      </c>
      <c r="N21" s="24">
        <f t="shared" si="5"/>
        <v>0</v>
      </c>
      <c r="O21" s="24">
        <f t="shared" si="8"/>
        <v>0</v>
      </c>
      <c r="P21" s="24">
        <f t="shared" si="8"/>
        <v>0</v>
      </c>
      <c r="Q21" s="24">
        <f t="shared" si="9"/>
        <v>0</v>
      </c>
      <c r="R21" s="26" t="e">
        <f t="shared" si="10"/>
        <v>#DIV/0!</v>
      </c>
      <c r="S21" s="26">
        <f t="shared" si="10"/>
        <v>1</v>
      </c>
      <c r="T21" s="26" t="e">
        <f t="shared" si="2"/>
        <v>#DIV/0!</v>
      </c>
      <c r="U21" s="47"/>
      <c r="V21" s="22"/>
      <c r="W21" s="22"/>
      <c r="X21" s="39"/>
      <c r="Y21" s="39">
        <f>9000</f>
        <v>9000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7"/>
      <c r="BI21" s="28"/>
      <c r="BJ21" s="28"/>
      <c r="BK21" s="28"/>
      <c r="BL21" s="28"/>
    </row>
    <row r="22" spans="1:64" ht="15.75" customHeight="1" x14ac:dyDescent="0.25">
      <c r="A22" s="40"/>
      <c r="B22" s="36" t="s">
        <v>69</v>
      </c>
      <c r="C22" s="161" t="s">
        <v>70</v>
      </c>
      <c r="D22" s="160" t="s">
        <v>71</v>
      </c>
      <c r="E22" s="22"/>
      <c r="F22" s="37">
        <f>16240+16500</f>
        <v>32740</v>
      </c>
      <c r="G22" s="37"/>
      <c r="H22" s="38"/>
      <c r="I22" s="24">
        <f t="shared" si="12"/>
        <v>0</v>
      </c>
      <c r="J22" s="24">
        <f t="shared" si="12"/>
        <v>16500</v>
      </c>
      <c r="K22" s="24">
        <f t="shared" si="11"/>
        <v>0</v>
      </c>
      <c r="L22" s="24">
        <f t="shared" si="7"/>
        <v>0</v>
      </c>
      <c r="M22" s="24">
        <f t="shared" si="5"/>
        <v>16500</v>
      </c>
      <c r="N22" s="24">
        <f t="shared" si="5"/>
        <v>0</v>
      </c>
      <c r="O22" s="24">
        <f t="shared" si="8"/>
        <v>0</v>
      </c>
      <c r="P22" s="24">
        <f t="shared" si="8"/>
        <v>16240</v>
      </c>
      <c r="Q22" s="24">
        <f t="shared" si="9"/>
        <v>0</v>
      </c>
      <c r="R22" s="26" t="e">
        <f t="shared" si="10"/>
        <v>#DIV/0!</v>
      </c>
      <c r="S22" s="26">
        <f t="shared" si="10"/>
        <v>0.50397067806963958</v>
      </c>
      <c r="T22" s="26" t="e">
        <f t="shared" si="2"/>
        <v>#DIV/0!</v>
      </c>
      <c r="U22" s="22"/>
      <c r="V22" s="22"/>
      <c r="W22" s="22"/>
      <c r="X22" s="39"/>
      <c r="Y22" s="39">
        <v>16500</v>
      </c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7"/>
      <c r="BI22" s="28"/>
      <c r="BJ22" s="28"/>
      <c r="BK22" s="28"/>
      <c r="BL22" s="28"/>
    </row>
    <row r="23" spans="1:64" ht="15.75" customHeight="1" x14ac:dyDescent="0.25">
      <c r="A23" s="40"/>
      <c r="B23" s="36"/>
      <c r="C23" s="161" t="s">
        <v>72</v>
      </c>
      <c r="D23" s="160" t="s">
        <v>73</v>
      </c>
      <c r="E23" s="58">
        <f>4448.55</f>
        <v>4448.55</v>
      </c>
      <c r="F23" s="37"/>
      <c r="G23" s="37"/>
      <c r="H23" s="38"/>
      <c r="I23" s="24">
        <f t="shared" si="12"/>
        <v>4448.55</v>
      </c>
      <c r="J23" s="24">
        <f t="shared" si="12"/>
        <v>0</v>
      </c>
      <c r="K23" s="24">
        <f t="shared" si="11"/>
        <v>0</v>
      </c>
      <c r="L23" s="24">
        <f t="shared" si="7"/>
        <v>4448.55</v>
      </c>
      <c r="M23" s="24">
        <f t="shared" si="5"/>
        <v>0</v>
      </c>
      <c r="N23" s="24">
        <f t="shared" si="5"/>
        <v>0</v>
      </c>
      <c r="O23" s="24">
        <f t="shared" si="8"/>
        <v>0</v>
      </c>
      <c r="P23" s="24">
        <f t="shared" si="8"/>
        <v>0</v>
      </c>
      <c r="Q23" s="24">
        <f t="shared" si="9"/>
        <v>0</v>
      </c>
      <c r="R23" s="26">
        <f t="shared" si="10"/>
        <v>1</v>
      </c>
      <c r="S23" s="26" t="e">
        <f t="shared" si="10"/>
        <v>#DIV/0!</v>
      </c>
      <c r="T23" s="26" t="e">
        <f t="shared" si="2"/>
        <v>#DIV/0!</v>
      </c>
      <c r="U23" s="22"/>
      <c r="V23" s="22"/>
      <c r="W23" s="22"/>
      <c r="X23" s="39"/>
      <c r="Y23" s="39"/>
      <c r="Z23" s="22"/>
      <c r="AA23" s="22"/>
      <c r="AB23" s="22"/>
      <c r="AC23" s="22"/>
      <c r="AD23" s="22"/>
      <c r="AE23" s="22"/>
      <c r="AF23" s="22"/>
      <c r="AG23" s="48">
        <f>4448.55</f>
        <v>4448.55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7"/>
      <c r="BI23" s="28"/>
      <c r="BJ23" s="28"/>
      <c r="BK23" s="28"/>
      <c r="BL23" s="28"/>
    </row>
    <row r="24" spans="1:64" ht="15.75" x14ac:dyDescent="0.25">
      <c r="A24" s="49" t="s">
        <v>74</v>
      </c>
      <c r="B24" s="50" t="s">
        <v>75</v>
      </c>
      <c r="C24" s="161" t="s">
        <v>41</v>
      </c>
      <c r="D24" s="160" t="s">
        <v>206</v>
      </c>
      <c r="E24" s="22">
        <f>468.9+166.72+1708.88</f>
        <v>2344.5</v>
      </c>
      <c r="F24" s="37">
        <f>288.24</f>
        <v>288.24</v>
      </c>
      <c r="G24" s="37"/>
      <c r="H24" s="38"/>
      <c r="I24" s="24">
        <f>U24+X24+AA24+AD24+AG24+AJ24+AM24+AP24+AS24+AV24+AY24+BB24</f>
        <v>628.72</v>
      </c>
      <c r="J24" s="24">
        <f>V24+Y24+AB24+AE24+AH24+AK24+AN24+AQ24+AT24+AW24+AZ24+BC24</f>
        <v>288.24</v>
      </c>
      <c r="K24" s="24">
        <f t="shared" si="11"/>
        <v>0</v>
      </c>
      <c r="L24" s="24">
        <f t="shared" si="7"/>
        <v>628.72</v>
      </c>
      <c r="M24" s="24">
        <f t="shared" si="5"/>
        <v>288.24</v>
      </c>
      <c r="N24" s="24">
        <f t="shared" si="5"/>
        <v>0</v>
      </c>
      <c r="O24" s="24">
        <f t="shared" si="8"/>
        <v>1715.78</v>
      </c>
      <c r="P24" s="24">
        <f t="shared" si="8"/>
        <v>0</v>
      </c>
      <c r="Q24" s="24">
        <f t="shared" si="9"/>
        <v>0</v>
      </c>
      <c r="R24" s="26">
        <f t="shared" si="10"/>
        <v>0.26816805288974194</v>
      </c>
      <c r="S24" s="26">
        <f t="shared" si="10"/>
        <v>1</v>
      </c>
      <c r="T24" s="26" t="e">
        <f t="shared" si="2"/>
        <v>#DIV/0!</v>
      </c>
      <c r="U24" s="22"/>
      <c r="V24" s="22"/>
      <c r="W24" s="22"/>
      <c r="X24" s="22">
        <f>462</f>
        <v>462</v>
      </c>
      <c r="Y24" s="22">
        <v>288.24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>
        <f>166.72</f>
        <v>166.72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7"/>
      <c r="BI24" s="28"/>
      <c r="BJ24" s="28"/>
      <c r="BK24" s="28"/>
      <c r="BL24" s="28"/>
    </row>
    <row r="25" spans="1:64" ht="15.75" x14ac:dyDescent="0.25">
      <c r="A25" s="35" t="s">
        <v>76</v>
      </c>
      <c r="B25" s="36"/>
      <c r="C25" s="161" t="s">
        <v>77</v>
      </c>
      <c r="D25" s="160" t="s">
        <v>207</v>
      </c>
      <c r="E25" s="22">
        <f>5000</f>
        <v>5000</v>
      </c>
      <c r="F25" s="37"/>
      <c r="G25" s="37"/>
      <c r="H25" s="38"/>
      <c r="I25" s="24">
        <f t="shared" si="12"/>
        <v>5000</v>
      </c>
      <c r="J25" s="24">
        <f t="shared" si="12"/>
        <v>0</v>
      </c>
      <c r="K25" s="24">
        <f t="shared" si="11"/>
        <v>0</v>
      </c>
      <c r="L25" s="24">
        <f t="shared" si="7"/>
        <v>5000</v>
      </c>
      <c r="M25" s="24">
        <f t="shared" si="5"/>
        <v>0</v>
      </c>
      <c r="N25" s="24">
        <f t="shared" si="5"/>
        <v>0</v>
      </c>
      <c r="O25" s="24">
        <f t="shared" si="8"/>
        <v>0</v>
      </c>
      <c r="P25" s="24">
        <f t="shared" si="8"/>
        <v>0</v>
      </c>
      <c r="Q25" s="24">
        <f t="shared" si="9"/>
        <v>0</v>
      </c>
      <c r="R25" s="26">
        <f t="shared" si="10"/>
        <v>1</v>
      </c>
      <c r="S25" s="26" t="e">
        <f t="shared" si="10"/>
        <v>#DIV/0!</v>
      </c>
      <c r="T25" s="26" t="e">
        <f t="shared" si="2"/>
        <v>#DIV/0!</v>
      </c>
      <c r="U25" s="22"/>
      <c r="V25" s="22"/>
      <c r="W25" s="22"/>
      <c r="X25" s="39"/>
      <c r="Y25" s="39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5000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7"/>
      <c r="BI25" s="28"/>
      <c r="BJ25" s="28"/>
      <c r="BK25" s="28"/>
      <c r="BL25" s="28"/>
    </row>
    <row r="26" spans="1:64" ht="15.75" x14ac:dyDescent="0.25">
      <c r="A26" s="41"/>
      <c r="B26" s="36" t="s">
        <v>78</v>
      </c>
      <c r="C26" s="161" t="s">
        <v>79</v>
      </c>
      <c r="D26" s="160" t="s">
        <v>208</v>
      </c>
      <c r="E26" s="22">
        <f>70383</f>
        <v>70383</v>
      </c>
      <c r="F26" s="37">
        <f>892.6+1440.9+174+348+362.4+527.8</f>
        <v>3745.7</v>
      </c>
      <c r="G26" s="37"/>
      <c r="H26" s="38"/>
      <c r="I26" s="24">
        <f t="shared" si="12"/>
        <v>0</v>
      </c>
      <c r="J26" s="24">
        <f t="shared" si="12"/>
        <v>3383.3</v>
      </c>
      <c r="K26" s="24">
        <f t="shared" si="11"/>
        <v>0</v>
      </c>
      <c r="L26" s="24">
        <f t="shared" si="7"/>
        <v>0</v>
      </c>
      <c r="M26" s="24">
        <f t="shared" si="5"/>
        <v>3383.3</v>
      </c>
      <c r="N26" s="24">
        <f t="shared" si="5"/>
        <v>0</v>
      </c>
      <c r="O26" s="24">
        <f t="shared" si="8"/>
        <v>70383</v>
      </c>
      <c r="P26" s="24">
        <f t="shared" si="8"/>
        <v>362.39999999999964</v>
      </c>
      <c r="Q26" s="24">
        <f t="shared" si="9"/>
        <v>0</v>
      </c>
      <c r="R26" s="26">
        <f t="shared" si="10"/>
        <v>0</v>
      </c>
      <c r="S26" s="26">
        <f t="shared" si="10"/>
        <v>0.90324905892089602</v>
      </c>
      <c r="T26" s="26" t="e">
        <f t="shared" si="2"/>
        <v>#DIV/0!</v>
      </c>
      <c r="U26" s="22"/>
      <c r="V26" s="22">
        <f>174+527.8</f>
        <v>701.8</v>
      </c>
      <c r="W26" s="22"/>
      <c r="X26" s="39"/>
      <c r="Y26" s="39">
        <f>892.6</f>
        <v>892.6</v>
      </c>
      <c r="Z26" s="22"/>
      <c r="AA26" s="22"/>
      <c r="AB26" s="22">
        <f>1440.9</f>
        <v>1440.9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348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7"/>
      <c r="BI26" s="28"/>
      <c r="BJ26" s="28"/>
      <c r="BK26" s="28"/>
      <c r="BL26" s="28"/>
    </row>
    <row r="27" spans="1:64" ht="15.75" x14ac:dyDescent="0.25">
      <c r="A27" s="41"/>
      <c r="B27" s="36"/>
      <c r="C27" s="161" t="s">
        <v>79</v>
      </c>
      <c r="D27" s="160" t="s">
        <v>222</v>
      </c>
      <c r="E27" s="22">
        <f>1817.8+4022.53+2567.5</f>
        <v>8407.83</v>
      </c>
      <c r="F27" s="37"/>
      <c r="G27" s="37"/>
      <c r="H27" s="38"/>
      <c r="I27" s="24">
        <f t="shared" si="12"/>
        <v>0</v>
      </c>
      <c r="J27" s="24">
        <f t="shared" si="12"/>
        <v>0</v>
      </c>
      <c r="K27" s="24">
        <f t="shared" si="11"/>
        <v>0</v>
      </c>
      <c r="L27" s="24">
        <f t="shared" si="7"/>
        <v>0</v>
      </c>
      <c r="M27" s="24">
        <f t="shared" si="5"/>
        <v>0</v>
      </c>
      <c r="N27" s="24">
        <f t="shared" si="5"/>
        <v>0</v>
      </c>
      <c r="O27" s="24">
        <f t="shared" si="8"/>
        <v>8407.83</v>
      </c>
      <c r="P27" s="24">
        <f t="shared" si="8"/>
        <v>0</v>
      </c>
      <c r="Q27" s="24">
        <f t="shared" si="9"/>
        <v>0</v>
      </c>
      <c r="R27" s="26">
        <f t="shared" si="10"/>
        <v>0</v>
      </c>
      <c r="S27" s="26" t="e">
        <f t="shared" si="10"/>
        <v>#DIV/0!</v>
      </c>
      <c r="T27" s="26" t="e">
        <f t="shared" si="2"/>
        <v>#DIV/0!</v>
      </c>
      <c r="U27" s="22"/>
      <c r="V27" s="22"/>
      <c r="W27" s="22"/>
      <c r="X27" s="39"/>
      <c r="Y27" s="39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7"/>
      <c r="BI27" s="28"/>
      <c r="BJ27" s="28"/>
      <c r="BK27" s="28"/>
      <c r="BL27" s="28"/>
    </row>
    <row r="28" spans="1:64" ht="15.75" x14ac:dyDescent="0.25">
      <c r="A28" s="51" t="s">
        <v>80</v>
      </c>
      <c r="B28" s="36" t="s">
        <v>81</v>
      </c>
      <c r="C28" s="161" t="s">
        <v>79</v>
      </c>
      <c r="D28" s="160" t="s">
        <v>82</v>
      </c>
      <c r="E28" s="56">
        <f>2343.6+1407+1824.36+1180+1738.98+4775+732.84+695.92+1000.09+473.52+82.62+449.84+316.32+376.89+283.65+713-15.9</f>
        <v>18377.73</v>
      </c>
      <c r="F28" s="57">
        <f>413+1266+3806.39</f>
        <v>5485.3899999999994</v>
      </c>
      <c r="G28" s="57"/>
      <c r="H28" s="38"/>
      <c r="I28" s="24">
        <f t="shared" si="12"/>
        <v>17717.189999999999</v>
      </c>
      <c r="J28" s="24">
        <f t="shared" si="12"/>
        <v>0</v>
      </c>
      <c r="K28" s="24">
        <f t="shared" si="11"/>
        <v>0</v>
      </c>
      <c r="L28" s="24">
        <f t="shared" si="7"/>
        <v>17717.189999999999</v>
      </c>
      <c r="M28" s="24">
        <f t="shared" si="5"/>
        <v>0</v>
      </c>
      <c r="N28" s="24">
        <f t="shared" si="5"/>
        <v>0</v>
      </c>
      <c r="O28" s="24">
        <f t="shared" si="8"/>
        <v>660.54000000000087</v>
      </c>
      <c r="P28" s="24">
        <f t="shared" si="8"/>
        <v>5485.3899999999994</v>
      </c>
      <c r="Q28" s="24">
        <f t="shared" si="9"/>
        <v>0</v>
      </c>
      <c r="R28" s="26">
        <f t="shared" si="10"/>
        <v>0.9640575849139148</v>
      </c>
      <c r="S28" s="26">
        <f t="shared" si="10"/>
        <v>0</v>
      </c>
      <c r="T28" s="26" t="e">
        <f t="shared" si="2"/>
        <v>#DIV/0!</v>
      </c>
      <c r="U28" s="52"/>
      <c r="V28" s="22"/>
      <c r="W28" s="52"/>
      <c r="X28" s="53"/>
      <c r="Y28" s="53"/>
      <c r="Z28" s="52"/>
      <c r="AA28" s="52"/>
      <c r="AB28" s="52"/>
      <c r="AC28" s="52"/>
      <c r="AD28" s="52">
        <v>2343.6</v>
      </c>
      <c r="AE28" s="52"/>
      <c r="AF28" s="52"/>
      <c r="AG28" s="52">
        <v>1738.98</v>
      </c>
      <c r="AH28" s="52"/>
      <c r="AI28" s="52"/>
      <c r="AJ28" s="52">
        <f>4775+732.84+82.62+1824.36</f>
        <v>7414.82</v>
      </c>
      <c r="AK28" s="52"/>
      <c r="AL28" s="52"/>
      <c r="AM28" s="52">
        <f>449.84+713+984.19+1407</f>
        <v>3554.0299999999997</v>
      </c>
      <c r="AN28" s="52"/>
      <c r="AO28" s="52"/>
      <c r="AP28" s="52">
        <f>473.52+1180+316.32</f>
        <v>1969.84</v>
      </c>
      <c r="AQ28" s="52"/>
      <c r="AR28" s="52"/>
      <c r="AS28" s="52">
        <v>695.92</v>
      </c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27"/>
      <c r="BI28" s="28"/>
      <c r="BJ28" s="28"/>
      <c r="BK28" s="28"/>
      <c r="BL28" s="28"/>
    </row>
    <row r="29" spans="1:64" ht="15.75" customHeight="1" x14ac:dyDescent="0.25">
      <c r="A29" s="54"/>
      <c r="B29" s="36"/>
      <c r="C29" s="161" t="s">
        <v>83</v>
      </c>
      <c r="D29" s="160" t="s">
        <v>221</v>
      </c>
      <c r="E29" s="22"/>
      <c r="F29" s="37"/>
      <c r="G29" s="37"/>
      <c r="H29" s="38"/>
      <c r="I29" s="24">
        <f t="shared" si="12"/>
        <v>0</v>
      </c>
      <c r="J29" s="24">
        <f>Y29+AB29+AE29+AH29+AK29+AN29+AQ29+AT29+AW29+AZ29+BC29</f>
        <v>0</v>
      </c>
      <c r="K29" s="24">
        <f t="shared" si="11"/>
        <v>0</v>
      </c>
      <c r="L29" s="24">
        <f t="shared" si="7"/>
        <v>0</v>
      </c>
      <c r="M29" s="24">
        <f>IF(BF29=0,SUM(V64+Y29+AB29+AE29+AH29+AK29+AN29+AQ29+AT29+AW29+AZ29+BC29),BF29)</f>
        <v>412.5</v>
      </c>
      <c r="N29" s="24">
        <f t="shared" ref="N29" si="13">IF(BG29=0,SUM(W29+Z29+AC29+AF29+AI29+AL29+AO29+AR29+AU29+AX29+BA29+BD29),BG29)</f>
        <v>0</v>
      </c>
      <c r="O29" s="24">
        <f t="shared" si="8"/>
        <v>0</v>
      </c>
      <c r="P29" s="24">
        <f t="shared" si="8"/>
        <v>0</v>
      </c>
      <c r="Q29" s="24">
        <f t="shared" si="9"/>
        <v>0</v>
      </c>
      <c r="R29" s="26" t="e">
        <f t="shared" si="10"/>
        <v>#DIV/0!</v>
      </c>
      <c r="S29" s="26" t="e">
        <f t="shared" si="10"/>
        <v>#DIV/0!</v>
      </c>
      <c r="T29" s="26" t="e">
        <f t="shared" si="2"/>
        <v>#DIV/0!</v>
      </c>
      <c r="U29" s="52"/>
      <c r="V29" s="43"/>
      <c r="W29" s="52"/>
      <c r="X29" s="39"/>
      <c r="Y29" s="39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27"/>
      <c r="BI29" s="28"/>
      <c r="BJ29" s="28"/>
      <c r="BK29" s="28"/>
      <c r="BL29" s="28"/>
    </row>
    <row r="30" spans="1:64" ht="15.75" customHeight="1" x14ac:dyDescent="0.25">
      <c r="A30" s="54"/>
      <c r="B30" s="36"/>
      <c r="C30" s="161"/>
      <c r="D30" s="160" t="s">
        <v>220</v>
      </c>
      <c r="E30" s="22">
        <v>30000</v>
      </c>
      <c r="F30" s="37"/>
      <c r="G30" s="37"/>
      <c r="H30" s="38"/>
      <c r="I30" s="24"/>
      <c r="J30" s="24"/>
      <c r="K30" s="24"/>
      <c r="L30" s="24"/>
      <c r="M30" s="24"/>
      <c r="N30" s="24"/>
      <c r="O30" s="24"/>
      <c r="P30" s="24"/>
      <c r="Q30" s="24"/>
      <c r="R30" s="26"/>
      <c r="S30" s="26"/>
      <c r="T30" s="26"/>
      <c r="U30" s="52"/>
      <c r="V30" s="43"/>
      <c r="W30" s="52"/>
      <c r="X30" s="39"/>
      <c r="Y30" s="39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27"/>
      <c r="BI30" s="28"/>
      <c r="BJ30" s="28"/>
      <c r="BK30" s="28"/>
      <c r="BL30" s="28"/>
    </row>
    <row r="31" spans="1:64" ht="15.75" customHeight="1" x14ac:dyDescent="0.25">
      <c r="A31" s="54"/>
      <c r="B31" s="36" t="s">
        <v>84</v>
      </c>
      <c r="C31" s="161" t="s">
        <v>85</v>
      </c>
      <c r="D31" s="165" t="s">
        <v>209</v>
      </c>
      <c r="E31" s="22"/>
      <c r="F31" s="37">
        <v>823388.88</v>
      </c>
      <c r="G31" s="37"/>
      <c r="H31" s="38"/>
      <c r="I31" s="24">
        <f>U31+X31+AA31+AD31+AG31+AJ31+AM31+AP31+AS31+AV31+AY31+BB31</f>
        <v>0</v>
      </c>
      <c r="J31" s="24">
        <f>V31+Y31+AB31+AE31+AH31+AK31+AN31+AQ31+AT31+AW31+AZ31+BC31</f>
        <v>720790.06</v>
      </c>
      <c r="K31" s="24">
        <f t="shared" ref="I31:K36" si="14">W31+Z31+AC31+AF31+AI31+AL31+AO31+AR31+AU31+AX31+BA31+BD31</f>
        <v>0</v>
      </c>
      <c r="L31" s="24">
        <f>IF(BE31=0,SUM(U31+X31+AA31+AD31+AG31+AJ31+AM31+AP31+AS31+AV31+AY31+BB31),BE31)</f>
        <v>0</v>
      </c>
      <c r="M31" s="24">
        <f>IF(BF31=0,SUM(V31+Y31+AB31+AE31+AH31+AK31+AN31+AQ31+AT31+AW31+AZ31+BC31),BF31)</f>
        <v>720790.06</v>
      </c>
      <c r="N31" s="24">
        <f>IF(BG31=0,SUM(W31+Z31+AC31+AF31+AI31+AL31+AO31+AR31+AU31+AX31+BA31+BD31),BG31)</f>
        <v>0</v>
      </c>
      <c r="O31" s="24">
        <f t="shared" si="8"/>
        <v>0</v>
      </c>
      <c r="P31" s="24">
        <f t="shared" si="8"/>
        <v>102598.81999999995</v>
      </c>
      <c r="Q31" s="24">
        <f t="shared" si="9"/>
        <v>0</v>
      </c>
      <c r="R31" s="26" t="e">
        <f t="shared" si="10"/>
        <v>#DIV/0!</v>
      </c>
      <c r="S31" s="26">
        <f t="shared" si="10"/>
        <v>0.87539445516922698</v>
      </c>
      <c r="T31" s="26" t="e">
        <f t="shared" si="2"/>
        <v>#DIV/0!</v>
      </c>
      <c r="U31" s="52"/>
      <c r="V31" s="22"/>
      <c r="W31" s="52"/>
      <c r="X31" s="39"/>
      <c r="Y31" s="39"/>
      <c r="Z31" s="52"/>
      <c r="AA31" s="52"/>
      <c r="AB31" s="52">
        <v>115981.88</v>
      </c>
      <c r="AC31" s="52"/>
      <c r="AD31" s="52"/>
      <c r="AE31" s="52">
        <f>70706.47+34733.44</f>
        <v>105439.91</v>
      </c>
      <c r="AF31" s="52"/>
      <c r="AG31" s="52"/>
      <c r="AH31" s="52">
        <f>79149.79</f>
        <v>79149.789999999994</v>
      </c>
      <c r="AI31" s="52"/>
      <c r="AJ31" s="52"/>
      <c r="AK31" s="52">
        <v>87530.63</v>
      </c>
      <c r="AL31" s="52"/>
      <c r="AM31" s="52"/>
      <c r="AN31" s="52">
        <v>144839.69</v>
      </c>
      <c r="AO31" s="52"/>
      <c r="AP31" s="52"/>
      <c r="AQ31" s="52">
        <v>71117.53</v>
      </c>
      <c r="AR31" s="52"/>
      <c r="AT31" s="52">
        <v>116730.63</v>
      </c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27"/>
      <c r="BI31" s="28"/>
      <c r="BJ31" s="28"/>
      <c r="BK31" s="28"/>
      <c r="BL31" s="28"/>
    </row>
    <row r="32" spans="1:64" ht="15.75" customHeight="1" x14ac:dyDescent="0.25">
      <c r="A32" s="54"/>
      <c r="B32" s="55" t="s">
        <v>86</v>
      </c>
      <c r="C32" s="161" t="s">
        <v>85</v>
      </c>
      <c r="D32" s="160" t="s">
        <v>210</v>
      </c>
      <c r="E32" s="22"/>
      <c r="F32" s="37">
        <v>476983.69</v>
      </c>
      <c r="G32" s="37"/>
      <c r="H32" s="38"/>
      <c r="I32" s="24">
        <f>U32+X32+AA32+AD32+AG32+AJ32+AM32+AP32+AS32+AV32+AY32+BB32</f>
        <v>0</v>
      </c>
      <c r="J32" s="24">
        <f>V32+Y32+AB32+AE32+AH32+AK32+AN32+AQ32+AT32+AW32+AZ32+BC32</f>
        <v>379075.07999999996</v>
      </c>
      <c r="K32" s="24">
        <f t="shared" si="14"/>
        <v>0</v>
      </c>
      <c r="L32" s="24">
        <f>IF(BE32=0,SUM(U32+X32+AA32+AD32+AG32+AJ32+AM32+AP32+AS32+AV32+AY32+BB32),BE32)</f>
        <v>0</v>
      </c>
      <c r="M32" s="24">
        <f>IF(BF32=0,SUM(V32+Y32+AB32+AE32+AH32+AK32+AN32+AQ32+AT32+AW32+AZ32+BC32),BF32)</f>
        <v>379075.07999999996</v>
      </c>
      <c r="N32" s="24">
        <f>IF(BG32=0,SUM(W32+Z32+AC32+AF32+AI32+AL32+AO32+AR32+AU32+AX32+BA32+BD32),BG32)</f>
        <v>0</v>
      </c>
      <c r="O32" s="24">
        <f t="shared" si="8"/>
        <v>0</v>
      </c>
      <c r="P32" s="24">
        <f t="shared" si="8"/>
        <v>97908.610000000044</v>
      </c>
      <c r="Q32" s="24">
        <f t="shared" si="9"/>
        <v>0</v>
      </c>
      <c r="R32" s="26" t="e">
        <f t="shared" si="10"/>
        <v>#DIV/0!</v>
      </c>
      <c r="S32" s="26">
        <f t="shared" si="10"/>
        <v>0.79473384089925581</v>
      </c>
      <c r="T32" s="26" t="e">
        <f t="shared" si="2"/>
        <v>#DIV/0!</v>
      </c>
      <c r="U32" s="52"/>
      <c r="V32" s="22"/>
      <c r="W32" s="52"/>
      <c r="X32" s="39"/>
      <c r="Y32" s="39"/>
      <c r="Z32" s="52"/>
      <c r="AA32" s="52"/>
      <c r="AB32" s="52">
        <f>61438.46</f>
        <v>61438.46</v>
      </c>
      <c r="AC32" s="52"/>
      <c r="AD32" s="52"/>
      <c r="AE32" s="52">
        <f>48772.93</f>
        <v>48772.93</v>
      </c>
      <c r="AF32" s="52"/>
      <c r="AG32" s="52"/>
      <c r="AH32" s="52">
        <v>37025.279999999999</v>
      </c>
      <c r="AI32" s="52"/>
      <c r="AJ32" s="52"/>
      <c r="AK32" s="52">
        <v>46046.57</v>
      </c>
      <c r="AL32" s="52"/>
      <c r="AM32" s="52"/>
      <c r="AN32" s="52">
        <v>73066.929999999993</v>
      </c>
      <c r="AO32" s="52"/>
      <c r="AP32" s="52"/>
      <c r="AQ32" s="52">
        <f>87286.56</f>
        <v>87286.56</v>
      </c>
      <c r="AR32" s="52"/>
      <c r="AS32" s="52"/>
      <c r="AT32" s="52">
        <f>25241.97+196.38</f>
        <v>25438.350000000002</v>
      </c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27"/>
      <c r="BI32" s="28"/>
      <c r="BJ32" s="28"/>
      <c r="BK32" s="28"/>
      <c r="BL32" s="28"/>
    </row>
    <row r="33" spans="1:64" ht="15.75" customHeight="1" x14ac:dyDescent="0.25">
      <c r="A33" s="29"/>
      <c r="B33" s="36" t="s">
        <v>87</v>
      </c>
      <c r="C33" s="166" t="s">
        <v>88</v>
      </c>
      <c r="D33" s="167" t="s">
        <v>89</v>
      </c>
      <c r="E33" s="22"/>
      <c r="F33" s="59">
        <v>34415.78</v>
      </c>
      <c r="G33" s="59"/>
      <c r="H33" s="38"/>
      <c r="I33" s="24">
        <f t="shared" si="14"/>
        <v>0</v>
      </c>
      <c r="J33" s="24">
        <f t="shared" si="14"/>
        <v>34415.78</v>
      </c>
      <c r="K33" s="24">
        <f t="shared" si="14"/>
        <v>0</v>
      </c>
      <c r="L33" s="24">
        <f t="shared" ref="L33:N41" si="15">IF(BE33=0,SUM(U33+X33+AA33+AD33+AG33+AJ33+AM33+AP33+AS33+AV33+AY33+BB33),BE33)</f>
        <v>0</v>
      </c>
      <c r="M33" s="24">
        <f t="shared" si="15"/>
        <v>34415.78</v>
      </c>
      <c r="N33" s="24">
        <f t="shared" si="15"/>
        <v>0</v>
      </c>
      <c r="O33" s="24">
        <f t="shared" ref="O33:P36" si="16">E33-I33</f>
        <v>0</v>
      </c>
      <c r="P33" s="24">
        <f t="shared" si="16"/>
        <v>0</v>
      </c>
      <c r="Q33" s="24">
        <f t="shared" si="9"/>
        <v>0</v>
      </c>
      <c r="R33" s="26" t="e">
        <f t="shared" ref="R33:S44" si="17">I33/E33</f>
        <v>#DIV/0!</v>
      </c>
      <c r="S33" s="26">
        <f t="shared" si="17"/>
        <v>1</v>
      </c>
      <c r="T33" s="26" t="e">
        <f t="shared" si="2"/>
        <v>#DIV/0!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>
        <v>10324.73</v>
      </c>
      <c r="AL33" s="22"/>
      <c r="AM33" s="22"/>
      <c r="AN33" s="22"/>
      <c r="AO33" s="22"/>
      <c r="AP33" s="22"/>
      <c r="AQ33" s="22"/>
      <c r="AR33" s="22"/>
      <c r="AS33" s="22"/>
      <c r="AT33" s="22">
        <v>24091.05</v>
      </c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7"/>
      <c r="BI33" s="28"/>
      <c r="BJ33" s="28"/>
      <c r="BK33" s="28"/>
      <c r="BL33" s="28"/>
    </row>
    <row r="34" spans="1:64" ht="15.75" customHeight="1" x14ac:dyDescent="0.25">
      <c r="A34" s="29"/>
      <c r="B34" s="36" t="s">
        <v>90</v>
      </c>
      <c r="C34" s="166" t="s">
        <v>88</v>
      </c>
      <c r="D34" s="167" t="s">
        <v>211</v>
      </c>
      <c r="E34" s="22"/>
      <c r="F34" s="59">
        <v>15982.5</v>
      </c>
      <c r="G34" s="59"/>
      <c r="H34" s="38"/>
      <c r="I34" s="24">
        <f t="shared" si="14"/>
        <v>0</v>
      </c>
      <c r="J34" s="24">
        <f t="shared" si="14"/>
        <v>15982.5</v>
      </c>
      <c r="K34" s="24">
        <f t="shared" si="14"/>
        <v>0</v>
      </c>
      <c r="L34" s="24">
        <f t="shared" si="15"/>
        <v>0</v>
      </c>
      <c r="M34" s="24">
        <f t="shared" si="15"/>
        <v>15982.5</v>
      </c>
      <c r="N34" s="24">
        <f t="shared" si="15"/>
        <v>0</v>
      </c>
      <c r="O34" s="24">
        <f t="shared" si="16"/>
        <v>0</v>
      </c>
      <c r="P34" s="24">
        <f t="shared" si="16"/>
        <v>0</v>
      </c>
      <c r="Q34" s="24">
        <f t="shared" si="9"/>
        <v>0</v>
      </c>
      <c r="R34" s="26" t="e">
        <f t="shared" si="17"/>
        <v>#DIV/0!</v>
      </c>
      <c r="S34" s="26">
        <f t="shared" si="17"/>
        <v>1</v>
      </c>
      <c r="T34" s="26" t="e">
        <f t="shared" si="2"/>
        <v>#DIV/0!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>
        <v>15982.5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7"/>
      <c r="BI34" s="28"/>
      <c r="BJ34" s="28"/>
      <c r="BK34" s="28"/>
      <c r="BL34" s="28"/>
    </row>
    <row r="35" spans="1:64" ht="15.75" customHeight="1" x14ac:dyDescent="0.25">
      <c r="A35" s="29" t="s">
        <v>91</v>
      </c>
      <c r="B35" s="36"/>
      <c r="C35" s="166" t="s">
        <v>92</v>
      </c>
      <c r="D35" s="167" t="s">
        <v>93</v>
      </c>
      <c r="E35" s="22">
        <f>481.98+27.08+902.65+115.52+97.95+177.56</f>
        <v>1802.74</v>
      </c>
      <c r="F35" s="43"/>
      <c r="G35" s="43"/>
      <c r="H35" s="38"/>
      <c r="I35" s="24">
        <f t="shared" si="14"/>
        <v>1802.74</v>
      </c>
      <c r="J35" s="24">
        <f t="shared" si="14"/>
        <v>0</v>
      </c>
      <c r="K35" s="24">
        <f t="shared" si="14"/>
        <v>0</v>
      </c>
      <c r="L35" s="24">
        <f t="shared" si="15"/>
        <v>1802.74</v>
      </c>
      <c r="M35" s="24">
        <f t="shared" si="15"/>
        <v>0</v>
      </c>
      <c r="N35" s="24">
        <f t="shared" si="15"/>
        <v>0</v>
      </c>
      <c r="O35" s="24">
        <f t="shared" si="16"/>
        <v>0</v>
      </c>
      <c r="P35" s="24">
        <f t="shared" si="16"/>
        <v>0</v>
      </c>
      <c r="Q35" s="24">
        <f t="shared" si="9"/>
        <v>0</v>
      </c>
      <c r="R35" s="26">
        <f t="shared" si="17"/>
        <v>1</v>
      </c>
      <c r="S35" s="26" t="e">
        <f t="shared" si="17"/>
        <v>#DIV/0!</v>
      </c>
      <c r="T35" s="26" t="e">
        <f t="shared" si="2"/>
        <v>#DIV/0!</v>
      </c>
      <c r="U35" s="22">
        <f>27.08</f>
        <v>27.08</v>
      </c>
      <c r="V35" s="22"/>
      <c r="W35" s="22"/>
      <c r="X35" s="22"/>
      <c r="Y35" s="22"/>
      <c r="Z35" s="22"/>
      <c r="AA35" s="22"/>
      <c r="AB35" s="22"/>
      <c r="AC35" s="22"/>
      <c r="AD35" s="22">
        <f>481.98</f>
        <v>481.98</v>
      </c>
      <c r="AE35" s="22"/>
      <c r="AF35" s="22"/>
      <c r="AG35" s="22"/>
      <c r="AH35" s="22"/>
      <c r="AI35" s="22"/>
      <c r="AJ35" s="22">
        <f>115.52+902.65</f>
        <v>1018.17</v>
      </c>
      <c r="AK35" s="22"/>
      <c r="AL35" s="22"/>
      <c r="AM35" s="22"/>
      <c r="AN35" s="22"/>
      <c r="AO35" s="22"/>
      <c r="AP35" s="22"/>
      <c r="AQ35" s="22"/>
      <c r="AR35" s="22"/>
      <c r="AS35" s="22">
        <f>97.95+88.78+88.78</f>
        <v>275.51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7"/>
      <c r="BI35" s="28"/>
      <c r="BJ35" s="28"/>
      <c r="BK35" s="28"/>
      <c r="BL35" s="28"/>
    </row>
    <row r="36" spans="1:64" ht="15.75" customHeight="1" x14ac:dyDescent="0.25">
      <c r="A36" s="29" t="s">
        <v>94</v>
      </c>
      <c r="B36" s="29"/>
      <c r="C36" s="159" t="s">
        <v>95</v>
      </c>
      <c r="D36" s="168" t="s">
        <v>96</v>
      </c>
      <c r="E36" s="22">
        <v>83</v>
      </c>
      <c r="F36" s="59"/>
      <c r="G36" s="59"/>
      <c r="H36" s="23"/>
      <c r="I36" s="24">
        <f t="shared" si="14"/>
        <v>83</v>
      </c>
      <c r="J36" s="24">
        <f t="shared" si="14"/>
        <v>0</v>
      </c>
      <c r="K36" s="24">
        <f t="shared" si="14"/>
        <v>0</v>
      </c>
      <c r="L36" s="24">
        <f t="shared" si="15"/>
        <v>83</v>
      </c>
      <c r="M36" s="24">
        <f t="shared" si="15"/>
        <v>0</v>
      </c>
      <c r="N36" s="24">
        <f t="shared" si="15"/>
        <v>0</v>
      </c>
      <c r="O36" s="24">
        <f t="shared" si="16"/>
        <v>0</v>
      </c>
      <c r="P36" s="24">
        <f t="shared" si="16"/>
        <v>0</v>
      </c>
      <c r="Q36" s="24">
        <f t="shared" si="9"/>
        <v>0</v>
      </c>
      <c r="R36" s="26">
        <f t="shared" si="17"/>
        <v>1</v>
      </c>
      <c r="S36" s="26" t="e">
        <f t="shared" si="17"/>
        <v>#DIV/0!</v>
      </c>
      <c r="T36" s="26" t="e">
        <f t="shared" si="2"/>
        <v>#DIV/0!</v>
      </c>
      <c r="U36" s="22"/>
      <c r="V36" s="22"/>
      <c r="W36" s="22"/>
      <c r="X36" s="22"/>
      <c r="Y36" s="22"/>
      <c r="Z36" s="22"/>
      <c r="AA36" s="22"/>
      <c r="AB36" s="22"/>
      <c r="AC36" s="22"/>
      <c r="AD36" s="22">
        <v>83</v>
      </c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7"/>
      <c r="BI36" s="28"/>
      <c r="BJ36" s="28"/>
      <c r="BK36" s="28"/>
      <c r="BL36" s="28"/>
    </row>
    <row r="37" spans="1:64" ht="21" x14ac:dyDescent="0.25">
      <c r="A37" s="17"/>
      <c r="B37" s="17"/>
      <c r="C37" s="17" t="s">
        <v>97</v>
      </c>
      <c r="D37" s="17"/>
      <c r="E37" s="18">
        <f>E38+E43+E44+E45+E47+E49+E52</f>
        <v>65729.210000000006</v>
      </c>
      <c r="F37" s="18">
        <f t="shared" ref="F37:BE37" si="18">F38+F43+F44+F45+F47+F49+F52</f>
        <v>461692.3</v>
      </c>
      <c r="G37" s="18">
        <f t="shared" si="18"/>
        <v>0</v>
      </c>
      <c r="H37" s="18">
        <f t="shared" si="18"/>
        <v>0</v>
      </c>
      <c r="I37" s="18">
        <f t="shared" si="18"/>
        <v>53051.850000000006</v>
      </c>
      <c r="J37" s="18">
        <f t="shared" si="18"/>
        <v>459522.15</v>
      </c>
      <c r="K37" s="18">
        <f t="shared" si="18"/>
        <v>0</v>
      </c>
      <c r="L37" s="18">
        <f t="shared" si="18"/>
        <v>53051.850000000006</v>
      </c>
      <c r="M37" s="18">
        <f t="shared" si="18"/>
        <v>459095.42</v>
      </c>
      <c r="N37" s="18">
        <f t="shared" si="18"/>
        <v>0</v>
      </c>
      <c r="O37" s="18">
        <f t="shared" si="18"/>
        <v>12677.36</v>
      </c>
      <c r="P37" s="18">
        <f t="shared" si="18"/>
        <v>2170.15</v>
      </c>
      <c r="Q37" s="18">
        <f t="shared" si="18"/>
        <v>0</v>
      </c>
      <c r="R37" s="18" t="e">
        <f t="shared" si="18"/>
        <v>#DIV/0!</v>
      </c>
      <c r="S37" s="18" t="e">
        <f t="shared" si="18"/>
        <v>#DIV/0!</v>
      </c>
      <c r="T37" s="18" t="e">
        <f t="shared" si="18"/>
        <v>#DIV/0!</v>
      </c>
      <c r="U37" s="18">
        <f t="shared" si="18"/>
        <v>0</v>
      </c>
      <c r="V37" s="18">
        <f t="shared" si="18"/>
        <v>3523.0600000000004</v>
      </c>
      <c r="W37" s="18">
        <f t="shared" si="18"/>
        <v>0</v>
      </c>
      <c r="X37" s="18">
        <f t="shared" si="18"/>
        <v>0</v>
      </c>
      <c r="Y37" s="18">
        <f t="shared" si="18"/>
        <v>3848.8500000000004</v>
      </c>
      <c r="Z37" s="18">
        <f t="shared" si="18"/>
        <v>0</v>
      </c>
      <c r="AA37" s="18">
        <f t="shared" si="18"/>
        <v>2918.32</v>
      </c>
      <c r="AB37" s="18">
        <f t="shared" si="18"/>
        <v>90937.34</v>
      </c>
      <c r="AC37" s="18">
        <f t="shared" si="18"/>
        <v>0</v>
      </c>
      <c r="AD37" s="18">
        <f t="shared" si="18"/>
        <v>2918.32</v>
      </c>
      <c r="AE37" s="18">
        <f t="shared" si="18"/>
        <v>309427.32</v>
      </c>
      <c r="AF37" s="18">
        <f t="shared" si="18"/>
        <v>0</v>
      </c>
      <c r="AG37" s="18">
        <f t="shared" si="18"/>
        <v>20446.54</v>
      </c>
      <c r="AH37" s="18">
        <f t="shared" si="18"/>
        <v>41883.300000000003</v>
      </c>
      <c r="AI37" s="18">
        <f t="shared" si="18"/>
        <v>0</v>
      </c>
      <c r="AJ37" s="18">
        <f t="shared" si="18"/>
        <v>4274.1100000000006</v>
      </c>
      <c r="AK37" s="18">
        <f t="shared" si="18"/>
        <v>8778.7999999999993</v>
      </c>
      <c r="AL37" s="18">
        <f t="shared" si="18"/>
        <v>0</v>
      </c>
      <c r="AM37" s="18">
        <f t="shared" si="18"/>
        <v>9908.85</v>
      </c>
      <c r="AN37" s="18">
        <f t="shared" si="18"/>
        <v>281.66999999999996</v>
      </c>
      <c r="AO37" s="18">
        <f t="shared" si="18"/>
        <v>0</v>
      </c>
      <c r="AP37" s="18">
        <f t="shared" si="18"/>
        <v>3278.01</v>
      </c>
      <c r="AQ37" s="18">
        <f t="shared" si="18"/>
        <v>307.37</v>
      </c>
      <c r="AR37" s="18">
        <f t="shared" si="18"/>
        <v>0</v>
      </c>
      <c r="AS37" s="18">
        <f t="shared" si="18"/>
        <v>9307.7000000000007</v>
      </c>
      <c r="AT37" s="18">
        <f t="shared" si="18"/>
        <v>107.71</v>
      </c>
      <c r="AU37" s="18">
        <f t="shared" si="18"/>
        <v>0</v>
      </c>
      <c r="AV37" s="18">
        <f t="shared" si="18"/>
        <v>0</v>
      </c>
      <c r="AW37" s="18">
        <f t="shared" si="18"/>
        <v>0</v>
      </c>
      <c r="AX37" s="18">
        <f t="shared" si="18"/>
        <v>0</v>
      </c>
      <c r="AY37" s="18">
        <f t="shared" si="18"/>
        <v>0</v>
      </c>
      <c r="AZ37" s="18">
        <f t="shared" si="18"/>
        <v>0</v>
      </c>
      <c r="BA37" s="18">
        <f t="shared" si="18"/>
        <v>0</v>
      </c>
      <c r="BB37" s="18">
        <f t="shared" si="18"/>
        <v>0</v>
      </c>
      <c r="BC37" s="18">
        <f t="shared" si="18"/>
        <v>0</v>
      </c>
      <c r="BD37" s="18">
        <f t="shared" si="18"/>
        <v>0</v>
      </c>
      <c r="BE37" s="18">
        <f t="shared" si="18"/>
        <v>0</v>
      </c>
      <c r="BF37" s="18" t="e">
        <f>BF38+BF43+BF44+#REF!+#REF!+BF45+BF47+BF49+BF52</f>
        <v>#REF!</v>
      </c>
      <c r="BG37" s="18" t="e">
        <f>BG38+BG43+BG44+#REF!+#REF!+BG45+BG47+BG49+BG52</f>
        <v>#REF!</v>
      </c>
      <c r="BH37" s="60"/>
      <c r="BI37" s="61"/>
      <c r="BJ37" s="61"/>
      <c r="BK37" s="61"/>
      <c r="BL37" s="61"/>
    </row>
    <row r="38" spans="1:64" ht="15.75" customHeight="1" x14ac:dyDescent="0.25">
      <c r="A38" s="62"/>
      <c r="B38" s="62"/>
      <c r="C38" s="63"/>
      <c r="D38" s="64" t="s">
        <v>98</v>
      </c>
      <c r="E38" s="65">
        <f>SUM(E39:E42)</f>
        <v>30884.210000000003</v>
      </c>
      <c r="F38" s="65">
        <f>SUM(F39:F44)</f>
        <v>11496.14</v>
      </c>
      <c r="G38" s="65"/>
      <c r="H38" s="65">
        <f>SUM(H39:H40)</f>
        <v>0</v>
      </c>
      <c r="I38" s="65">
        <f>SUM(I39:I42)</f>
        <v>21893.63</v>
      </c>
      <c r="J38" s="65">
        <f>SUM(J39:J42)</f>
        <v>9325.9900000000016</v>
      </c>
      <c r="K38" s="65">
        <f>SUM(K39:K40)</f>
        <v>0</v>
      </c>
      <c r="L38" s="12">
        <f>IF(BE38=0,SUM(U38+X38+AA38+AD38+AG38+AJ38+AM38+AP38+AS38+AV38+AY38+BB38),BE38)</f>
        <v>21893.63</v>
      </c>
      <c r="M38" s="12">
        <f>IF(BF38=0,SUM(V38+Y38+AB38+AE38+AH38+AK38+AN38+AQ38+AT38+AW38+AZ38+BC38),BF38)</f>
        <v>8899.260000000002</v>
      </c>
      <c r="N38" s="12">
        <f t="shared" si="15"/>
        <v>0</v>
      </c>
      <c r="O38" s="65">
        <f>SUM(O39:O42)</f>
        <v>8990.5800000000017</v>
      </c>
      <c r="P38" s="65">
        <f>SUM(P39:P42)</f>
        <v>2170.15</v>
      </c>
      <c r="Q38" s="65">
        <f>SUM(Q39:Q42)</f>
        <v>0</v>
      </c>
      <c r="R38" s="66">
        <f t="shared" si="17"/>
        <v>0.70889396231925628</v>
      </c>
      <c r="S38" s="66">
        <f t="shared" si="17"/>
        <v>0.81122794259638475</v>
      </c>
      <c r="T38" s="66" t="e">
        <f t="shared" si="2"/>
        <v>#DIV/0!</v>
      </c>
      <c r="U38" s="65">
        <f>SUM(U39:U40)</f>
        <v>0</v>
      </c>
      <c r="V38" s="65">
        <f>SUM(V39:V42)</f>
        <v>3523.0600000000004</v>
      </c>
      <c r="W38" s="65">
        <f>SUM(W39:W40)</f>
        <v>0</v>
      </c>
      <c r="X38" s="65">
        <f>SUM(X39:X40)</f>
        <v>0</v>
      </c>
      <c r="Y38" s="65">
        <f>SUM(Y39:Y42)</f>
        <v>3492.6700000000005</v>
      </c>
      <c r="Z38" s="65">
        <f t="shared" ref="Z38:BG38" si="19">SUM(Z39:Z40)</f>
        <v>0</v>
      </c>
      <c r="AA38" s="65">
        <f>SUM(AA39:AA42)</f>
        <v>2918.32</v>
      </c>
      <c r="AB38" s="65">
        <f>SUM(AB39:AB42)</f>
        <v>517.04</v>
      </c>
      <c r="AC38" s="65">
        <f t="shared" si="19"/>
        <v>0</v>
      </c>
      <c r="AD38" s="65">
        <f>SUM(AD39:AD42)</f>
        <v>2918.32</v>
      </c>
      <c r="AE38" s="65">
        <f>SUM(AE39:AE42)</f>
        <v>477.64</v>
      </c>
      <c r="AF38" s="65">
        <f t="shared" si="19"/>
        <v>0</v>
      </c>
      <c r="AG38" s="65">
        <f>SUM(AG39:AG42)</f>
        <v>2918.32</v>
      </c>
      <c r="AH38" s="65">
        <f>SUM(AH39:AH42)</f>
        <v>83.3</v>
      </c>
      <c r="AI38" s="65">
        <f t="shared" si="19"/>
        <v>0</v>
      </c>
      <c r="AJ38" s="65">
        <f>SUM(AJ39:AJ42)</f>
        <v>3494.11</v>
      </c>
      <c r="AK38" s="65">
        <f>SUM(AK39:AK42)</f>
        <v>108.8</v>
      </c>
      <c r="AL38" s="65">
        <f t="shared" si="19"/>
        <v>0</v>
      </c>
      <c r="AM38" s="65">
        <f>SUM(AM39:AM42)</f>
        <v>3058.8500000000004</v>
      </c>
      <c r="AN38" s="65">
        <f t="shared" si="19"/>
        <v>281.66999999999996</v>
      </c>
      <c r="AO38" s="65">
        <f t="shared" si="19"/>
        <v>0</v>
      </c>
      <c r="AP38" s="65">
        <f>SUM(AP39:AP42)</f>
        <v>3278.01</v>
      </c>
      <c r="AQ38" s="65">
        <f>SUM(AQ39:AQ44)</f>
        <v>307.37</v>
      </c>
      <c r="AR38" s="65">
        <f t="shared" si="19"/>
        <v>0</v>
      </c>
      <c r="AS38" s="65">
        <f>SUM(AS39:AS42)</f>
        <v>3307.7000000000003</v>
      </c>
      <c r="AT38" s="65">
        <f>SUM(AT39:AT42)</f>
        <v>107.71</v>
      </c>
      <c r="AU38" s="65">
        <f t="shared" si="19"/>
        <v>0</v>
      </c>
      <c r="AV38" s="65">
        <f t="shared" si="19"/>
        <v>0</v>
      </c>
      <c r="AW38" s="65">
        <f t="shared" si="19"/>
        <v>0</v>
      </c>
      <c r="AX38" s="65">
        <f t="shared" si="19"/>
        <v>0</v>
      </c>
      <c r="AY38" s="65">
        <f t="shared" si="19"/>
        <v>0</v>
      </c>
      <c r="AZ38" s="65">
        <f t="shared" si="19"/>
        <v>0</v>
      </c>
      <c r="BA38" s="65">
        <f t="shared" si="19"/>
        <v>0</v>
      </c>
      <c r="BB38" s="65">
        <f t="shared" si="19"/>
        <v>0</v>
      </c>
      <c r="BC38" s="65">
        <f t="shared" si="19"/>
        <v>0</v>
      </c>
      <c r="BD38" s="65">
        <f t="shared" si="19"/>
        <v>0</v>
      </c>
      <c r="BE38" s="65">
        <f t="shared" si="19"/>
        <v>0</v>
      </c>
      <c r="BF38" s="65">
        <f t="shared" si="19"/>
        <v>0</v>
      </c>
      <c r="BG38" s="65">
        <f t="shared" si="19"/>
        <v>0</v>
      </c>
      <c r="BH38" s="67"/>
      <c r="BI38" s="68"/>
      <c r="BJ38" s="68"/>
      <c r="BK38" s="68"/>
      <c r="BL38" s="68"/>
    </row>
    <row r="39" spans="1:64" ht="15.75" customHeight="1" x14ac:dyDescent="0.25">
      <c r="A39" s="69" t="s">
        <v>99</v>
      </c>
      <c r="B39" s="50" t="s">
        <v>100</v>
      </c>
      <c r="C39" s="161" t="s">
        <v>101</v>
      </c>
      <c r="D39" s="160" t="s">
        <v>212</v>
      </c>
      <c r="E39" s="70">
        <f>900+450+450+2250+1354</f>
        <v>5404</v>
      </c>
      <c r="F39" s="37">
        <f>1546.43+35.56+281.67</f>
        <v>1863.66</v>
      </c>
      <c r="G39" s="37"/>
      <c r="H39" s="71"/>
      <c r="I39" s="24">
        <f>U39+X39+AA39+AD39+AG39+AJ39+AM39+AP39+AS39+AV39+AY39+BB39</f>
        <v>1465.3899999999999</v>
      </c>
      <c r="J39" s="24">
        <f>V39+Y39+AB39+AE39+AH39+AK39+AN39+AQ39+AT39+AW39+AZ39+BC39</f>
        <v>1863.6600000000003</v>
      </c>
      <c r="K39" s="24">
        <f>W39+Z39+AC39+AF39+AI39+AL39+AO39+AR39+AU39+AX39+BA39+BD39</f>
        <v>0</v>
      </c>
      <c r="L39" s="24">
        <f t="shared" si="15"/>
        <v>1465.3899999999999</v>
      </c>
      <c r="M39" s="24">
        <f t="shared" si="15"/>
        <v>1863.6600000000003</v>
      </c>
      <c r="N39" s="24">
        <f t="shared" si="15"/>
        <v>0</v>
      </c>
      <c r="O39" s="24">
        <f>E39-I39</f>
        <v>3938.61</v>
      </c>
      <c r="P39" s="24">
        <f>F39-J39</f>
        <v>0</v>
      </c>
      <c r="Q39" s="24">
        <f t="shared" ref="Q39:Q44" si="20">H39-K39</f>
        <v>0</v>
      </c>
      <c r="R39" s="26">
        <f t="shared" si="17"/>
        <v>0.27116765358993333</v>
      </c>
      <c r="S39" s="26">
        <f t="shared" si="17"/>
        <v>1.0000000000000002</v>
      </c>
      <c r="T39" s="26" t="e">
        <f t="shared" si="2"/>
        <v>#DIV/0!</v>
      </c>
      <c r="U39" s="22"/>
      <c r="V39" s="22">
        <v>338.21</v>
      </c>
      <c r="W39" s="22"/>
      <c r="X39" s="22"/>
      <c r="Y39" s="39">
        <v>442.57</v>
      </c>
      <c r="Z39" s="22"/>
      <c r="AA39" s="22"/>
      <c r="AB39" s="22">
        <v>350.6</v>
      </c>
      <c r="AC39" s="22"/>
      <c r="AD39" s="22"/>
      <c r="AE39" s="22">
        <v>288.42</v>
      </c>
      <c r="AF39" s="22"/>
      <c r="AG39" s="22"/>
      <c r="AH39" s="22"/>
      <c r="AI39" s="22"/>
      <c r="AJ39" s="22">
        <f>299.73+276.06</f>
        <v>575.79</v>
      </c>
      <c r="AK39" s="22"/>
      <c r="AL39" s="22"/>
      <c r="AM39" s="22">
        <v>140.53</v>
      </c>
      <c r="AN39" s="22">
        <f>422.2-140.53</f>
        <v>281.66999999999996</v>
      </c>
      <c r="AO39" s="22"/>
      <c r="AP39" s="22">
        <v>359.69</v>
      </c>
      <c r="AQ39" s="22">
        <v>162.19</v>
      </c>
      <c r="AR39" s="14"/>
      <c r="AS39" s="22">
        <v>389.38</v>
      </c>
      <c r="AT39" s="14"/>
      <c r="AU39" s="14"/>
      <c r="AV39" s="22"/>
      <c r="AW39" s="14"/>
      <c r="AX39" s="14"/>
      <c r="AY39" s="22"/>
      <c r="AZ39" s="14"/>
      <c r="BA39" s="14"/>
      <c r="BB39" s="22"/>
      <c r="BC39" s="14"/>
      <c r="BD39" s="14"/>
      <c r="BE39" s="22"/>
      <c r="BF39" s="14"/>
      <c r="BG39" s="14"/>
      <c r="BH39" s="27"/>
      <c r="BI39" s="72"/>
      <c r="BJ39" s="72"/>
      <c r="BK39" s="72"/>
      <c r="BL39" s="72"/>
    </row>
    <row r="40" spans="1:64" ht="15.75" customHeight="1" x14ac:dyDescent="0.25">
      <c r="A40" s="49" t="s">
        <v>102</v>
      </c>
      <c r="B40" s="50" t="s">
        <v>103</v>
      </c>
      <c r="C40" s="161" t="s">
        <v>104</v>
      </c>
      <c r="D40" s="160" t="s">
        <v>213</v>
      </c>
      <c r="E40" s="22">
        <f>2491.59+2491.59+2491.59+2491.59+2491.59+2491.59+4983.18</f>
        <v>19932.72</v>
      </c>
      <c r="F40" s="37">
        <v>4983.18</v>
      </c>
      <c r="G40" s="37"/>
      <c r="H40" s="71"/>
      <c r="I40" s="24">
        <f t="shared" ref="I40:K44" si="21">U40+X40+AA40+AD40+AG40+AJ40+AM40+AP40+AS40+AV40+AY40+BB40</f>
        <v>17441.13</v>
      </c>
      <c r="J40" s="24">
        <f t="shared" si="21"/>
        <v>4983.18</v>
      </c>
      <c r="K40" s="24">
        <f t="shared" si="21"/>
        <v>0</v>
      </c>
      <c r="L40" s="24">
        <f t="shared" si="15"/>
        <v>17441.13</v>
      </c>
      <c r="M40" s="24">
        <f t="shared" si="15"/>
        <v>4983.18</v>
      </c>
      <c r="N40" s="24">
        <f t="shared" si="15"/>
        <v>0</v>
      </c>
      <c r="O40" s="24">
        <f>E40-I40</f>
        <v>2491.59</v>
      </c>
      <c r="P40" s="24">
        <f>F40-J40</f>
        <v>0</v>
      </c>
      <c r="Q40" s="24">
        <f t="shared" si="20"/>
        <v>0</v>
      </c>
      <c r="R40" s="26">
        <f t="shared" si="17"/>
        <v>0.875</v>
      </c>
      <c r="S40" s="26">
        <f t="shared" si="17"/>
        <v>1</v>
      </c>
      <c r="T40" s="26" t="e">
        <f t="shared" si="2"/>
        <v>#DIV/0!</v>
      </c>
      <c r="U40" s="22"/>
      <c r="V40" s="22">
        <v>2491.59</v>
      </c>
      <c r="W40" s="22"/>
      <c r="X40" s="22"/>
      <c r="Y40" s="39">
        <v>2491.59</v>
      </c>
      <c r="Z40" s="22"/>
      <c r="AA40" s="22">
        <f>2491.59</f>
        <v>2491.59</v>
      </c>
      <c r="AB40" s="22"/>
      <c r="AC40" s="22"/>
      <c r="AD40" s="22">
        <v>2491.59</v>
      </c>
      <c r="AE40" s="22"/>
      <c r="AF40" s="22"/>
      <c r="AG40" s="22">
        <f>2491.59</f>
        <v>2491.59</v>
      </c>
      <c r="AH40" s="22"/>
      <c r="AI40" s="22"/>
      <c r="AJ40" s="22">
        <v>2491.59</v>
      </c>
      <c r="AK40" s="22"/>
      <c r="AL40" s="22"/>
      <c r="AM40" s="22">
        <v>2491.59</v>
      </c>
      <c r="AN40" s="22"/>
      <c r="AO40" s="22"/>
      <c r="AP40" s="22">
        <v>2491.59</v>
      </c>
      <c r="AQ40" s="22"/>
      <c r="AR40" s="14"/>
      <c r="AS40" s="22">
        <v>2491.59</v>
      </c>
      <c r="AT40" s="14"/>
      <c r="AU40" s="14"/>
      <c r="AV40" s="14"/>
      <c r="AW40" s="14"/>
      <c r="AX40" s="14"/>
      <c r="AY40" s="22"/>
      <c r="AZ40" s="14"/>
      <c r="BA40" s="14"/>
      <c r="BB40" s="14"/>
      <c r="BC40" s="14"/>
      <c r="BD40" s="14"/>
      <c r="BE40" s="14"/>
      <c r="BF40" s="14"/>
      <c r="BG40" s="14"/>
      <c r="BH40" s="27"/>
      <c r="BI40" s="72"/>
      <c r="BJ40" s="72"/>
      <c r="BK40" s="72"/>
      <c r="BL40" s="72"/>
    </row>
    <row r="41" spans="1:64" ht="15.75" customHeight="1" x14ac:dyDescent="0.25">
      <c r="A41" s="49" t="s">
        <v>105</v>
      </c>
      <c r="B41" s="50" t="s">
        <v>106</v>
      </c>
      <c r="C41" s="161" t="s">
        <v>59</v>
      </c>
      <c r="D41" s="160" t="s">
        <v>214</v>
      </c>
      <c r="E41" s="22">
        <f>426.73+426.73+426.73+426.73+426.73+426.73+2133.65+853.46</f>
        <v>5547.4900000000007</v>
      </c>
      <c r="F41" s="37">
        <v>853.46</v>
      </c>
      <c r="G41" s="37"/>
      <c r="H41" s="71"/>
      <c r="I41" s="24">
        <f>U41+X41+AA41+AD41+AG41+AJ41+AM41+AP41+AS41+AV41+AY41+BB41</f>
        <v>2987.11</v>
      </c>
      <c r="J41" s="24">
        <f>V41+Y41+AB41+AE41+AH41+AK41+AN41+AP41+AT41+AW41+AZ41+BC41</f>
        <v>1280.19</v>
      </c>
      <c r="K41" s="24">
        <f t="shared" si="21"/>
        <v>0</v>
      </c>
      <c r="L41" s="24">
        <f>IF(BE41=0,SUM(U41+X41+AA41+AD41+AG41+AJ41+AM41+AP41+AS41+AV41+AY41+BB41),BE41)</f>
        <v>2987.11</v>
      </c>
      <c r="M41" s="24">
        <f>IF(BF41=0,SUM(V41+Y41+AB41+AE41+AH41+AK41+AN41+AP41+AT41+AW41+AZ41+BC41),BF41)</f>
        <v>1280.19</v>
      </c>
      <c r="N41" s="24">
        <f t="shared" si="15"/>
        <v>0</v>
      </c>
      <c r="O41" s="24">
        <f t="shared" ref="O41:P44" si="22">E41-I41</f>
        <v>2560.3800000000006</v>
      </c>
      <c r="P41" s="24">
        <f t="shared" si="22"/>
        <v>-426.73</v>
      </c>
      <c r="Q41" s="24">
        <f t="shared" si="20"/>
        <v>0</v>
      </c>
      <c r="R41" s="26">
        <f t="shared" si="17"/>
        <v>0.53846153846153844</v>
      </c>
      <c r="S41" s="26">
        <f t="shared" si="17"/>
        <v>1.5</v>
      </c>
      <c r="T41" s="26" t="e">
        <f t="shared" si="2"/>
        <v>#DIV/0!</v>
      </c>
      <c r="U41" s="22"/>
      <c r="V41" s="22">
        <v>426.73</v>
      </c>
      <c r="W41" s="22"/>
      <c r="X41" s="22"/>
      <c r="Y41" s="39">
        <v>426.73</v>
      </c>
      <c r="Z41" s="22"/>
      <c r="AA41" s="22">
        <f>426.73</f>
        <v>426.73</v>
      </c>
      <c r="AB41" s="22"/>
      <c r="AC41" s="22"/>
      <c r="AD41" s="22">
        <v>426.73</v>
      </c>
      <c r="AE41" s="22"/>
      <c r="AF41" s="22"/>
      <c r="AG41" s="22">
        <f>426.73</f>
        <v>426.73</v>
      </c>
      <c r="AH41" s="22"/>
      <c r="AI41" s="22"/>
      <c r="AJ41" s="22">
        <v>426.73</v>
      </c>
      <c r="AK41" s="22"/>
      <c r="AL41" s="22"/>
      <c r="AM41" s="22">
        <v>426.73</v>
      </c>
      <c r="AN41" s="22"/>
      <c r="AO41" s="22"/>
      <c r="AP41" s="22">
        <f>426.73</f>
        <v>426.73</v>
      </c>
      <c r="AR41" s="14"/>
      <c r="AS41" s="22">
        <v>426.73</v>
      </c>
      <c r="AT41" s="14"/>
      <c r="AU41" s="14"/>
      <c r="AV41" s="14"/>
      <c r="AW41" s="14"/>
      <c r="AX41" s="14"/>
      <c r="AY41" s="22"/>
      <c r="AZ41" s="14"/>
      <c r="BA41" s="14"/>
      <c r="BB41" s="14"/>
      <c r="BC41" s="14"/>
      <c r="BD41" s="14"/>
      <c r="BE41" s="14"/>
      <c r="BF41" s="14"/>
      <c r="BG41" s="14"/>
      <c r="BH41" s="27"/>
      <c r="BI41" s="72"/>
      <c r="BJ41" s="72"/>
      <c r="BK41" s="72"/>
      <c r="BL41" s="72"/>
    </row>
    <row r="42" spans="1:64" ht="15.75" customHeight="1" x14ac:dyDescent="0.25">
      <c r="A42" s="49"/>
      <c r="B42" s="50" t="s">
        <v>107</v>
      </c>
      <c r="C42" s="161" t="s">
        <v>108</v>
      </c>
      <c r="D42" s="160" t="s">
        <v>215</v>
      </c>
      <c r="E42" s="22"/>
      <c r="F42" s="37">
        <v>3795.84</v>
      </c>
      <c r="G42" s="37"/>
      <c r="H42" s="71"/>
      <c r="I42" s="24">
        <f t="shared" si="21"/>
        <v>0</v>
      </c>
      <c r="J42" s="24">
        <f t="shared" si="21"/>
        <v>1198.96</v>
      </c>
      <c r="K42" s="24">
        <f t="shared" si="21"/>
        <v>0</v>
      </c>
      <c r="L42" s="24">
        <f t="shared" ref="L42:N51" si="23">IF(BE42=0,SUM(U42+X42+AA42+AD42+AG42+AJ42+AM42+AP42+AS42+AV42+AY42+BB42),BE42)</f>
        <v>0</v>
      </c>
      <c r="M42" s="24">
        <f t="shared" si="23"/>
        <v>1198.96</v>
      </c>
      <c r="N42" s="24">
        <f t="shared" si="23"/>
        <v>0</v>
      </c>
      <c r="O42" s="24">
        <f t="shared" si="22"/>
        <v>0</v>
      </c>
      <c r="P42" s="24">
        <f t="shared" si="22"/>
        <v>2596.88</v>
      </c>
      <c r="Q42" s="24">
        <f t="shared" si="20"/>
        <v>0</v>
      </c>
      <c r="R42" s="26" t="e">
        <f t="shared" si="17"/>
        <v>#DIV/0!</v>
      </c>
      <c r="S42" s="26">
        <f t="shared" si="17"/>
        <v>0.31586157477659754</v>
      </c>
      <c r="T42" s="26" t="e">
        <f t="shared" si="2"/>
        <v>#DIV/0!</v>
      </c>
      <c r="U42" s="22"/>
      <c r="V42" s="22">
        <v>266.52999999999997</v>
      </c>
      <c r="W42" s="22"/>
      <c r="X42" s="22"/>
      <c r="Y42" s="39">
        <v>131.78</v>
      </c>
      <c r="Z42" s="22"/>
      <c r="AA42" s="22"/>
      <c r="AB42" s="22">
        <f>166.44</f>
        <v>166.44</v>
      </c>
      <c r="AC42" s="22"/>
      <c r="AD42" s="22"/>
      <c r="AE42" s="22">
        <v>189.22</v>
      </c>
      <c r="AF42" s="22"/>
      <c r="AG42" s="22"/>
      <c r="AH42" s="22">
        <v>83.3</v>
      </c>
      <c r="AI42" s="22"/>
      <c r="AJ42" s="22"/>
      <c r="AK42" s="22">
        <v>108.8</v>
      </c>
      <c r="AL42" s="22"/>
      <c r="AM42" s="22"/>
      <c r="AN42" s="22"/>
      <c r="AO42" s="22"/>
      <c r="AP42" s="22"/>
      <c r="AQ42" s="22">
        <f>145.18</f>
        <v>145.18</v>
      </c>
      <c r="AR42" s="14"/>
      <c r="AS42" s="14"/>
      <c r="AT42" s="22">
        <v>107.71</v>
      </c>
      <c r="AU42" s="14"/>
      <c r="AV42" s="14"/>
      <c r="AW42" s="14"/>
      <c r="AX42" s="14"/>
      <c r="AY42" s="22"/>
      <c r="AZ42" s="14"/>
      <c r="BA42" s="14"/>
      <c r="BB42" s="14"/>
      <c r="BC42" s="14"/>
      <c r="BD42" s="14"/>
      <c r="BE42" s="14"/>
      <c r="BF42" s="14"/>
      <c r="BG42" s="14"/>
      <c r="BH42" s="27"/>
      <c r="BI42" s="72"/>
      <c r="BJ42" s="72"/>
      <c r="BK42" s="72"/>
      <c r="BL42" s="72"/>
    </row>
    <row r="43" spans="1:64" ht="14.25" customHeight="1" x14ac:dyDescent="0.25">
      <c r="A43" s="73"/>
      <c r="B43" s="73"/>
      <c r="C43" s="74"/>
      <c r="D43" s="75" t="s">
        <v>109</v>
      </c>
      <c r="E43" s="77">
        <v>8764.11</v>
      </c>
      <c r="F43" s="78"/>
      <c r="G43" s="78"/>
      <c r="H43" s="78"/>
      <c r="I43" s="24">
        <f t="shared" si="21"/>
        <v>8764.11</v>
      </c>
      <c r="J43" s="24">
        <f t="shared" si="21"/>
        <v>0</v>
      </c>
      <c r="K43" s="79">
        <f>W43+Z43+AC43+AF43+AI43+AL43+AO43+AR43+AU43+AX43+BA43+BD43</f>
        <v>0</v>
      </c>
      <c r="L43" s="24">
        <f t="shared" si="23"/>
        <v>8764.11</v>
      </c>
      <c r="M43" s="24">
        <f t="shared" si="23"/>
        <v>0</v>
      </c>
      <c r="N43" s="24">
        <f t="shared" si="23"/>
        <v>0</v>
      </c>
      <c r="O43" s="79">
        <f t="shared" si="22"/>
        <v>0</v>
      </c>
      <c r="P43" s="24">
        <f t="shared" si="22"/>
        <v>0</v>
      </c>
      <c r="Q43" s="79">
        <f t="shared" si="20"/>
        <v>0</v>
      </c>
      <c r="R43" s="80">
        <f t="shared" si="17"/>
        <v>1</v>
      </c>
      <c r="S43" s="80" t="e">
        <f t="shared" si="17"/>
        <v>#DIV/0!</v>
      </c>
      <c r="T43" s="80" t="e">
        <f t="shared" si="2"/>
        <v>#DIV/0!</v>
      </c>
      <c r="U43" s="76"/>
      <c r="V43" s="76"/>
      <c r="W43" s="76"/>
      <c r="X43" s="76"/>
      <c r="Y43" s="81"/>
      <c r="Z43" s="76"/>
      <c r="AA43" s="76"/>
      <c r="AB43" s="76"/>
      <c r="AC43" s="76"/>
      <c r="AD43" s="76"/>
      <c r="AE43" s="76"/>
      <c r="AF43" s="76"/>
      <c r="AG43" s="76">
        <v>8764.11</v>
      </c>
      <c r="AH43" s="76"/>
      <c r="AI43" s="76"/>
      <c r="AJ43" s="82"/>
      <c r="AK43" s="82"/>
      <c r="AL43" s="82"/>
      <c r="AM43" s="82"/>
      <c r="AN43" s="82"/>
      <c r="AO43" s="82"/>
      <c r="AP43" s="82"/>
      <c r="AQ43" s="83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4"/>
      <c r="BI43" s="85"/>
      <c r="BJ43" s="85"/>
      <c r="BK43" s="85"/>
      <c r="BL43" s="85"/>
    </row>
    <row r="44" spans="1:64" ht="15.75" customHeight="1" x14ac:dyDescent="0.25">
      <c r="A44" s="73"/>
      <c r="B44" s="73"/>
      <c r="C44" s="74"/>
      <c r="D44" s="75" t="s">
        <v>110</v>
      </c>
      <c r="E44" s="78"/>
      <c r="F44" s="78"/>
      <c r="G44" s="78"/>
      <c r="H44" s="78"/>
      <c r="I44" s="79">
        <f t="shared" si="21"/>
        <v>0</v>
      </c>
      <c r="J44" s="79">
        <f t="shared" si="21"/>
        <v>0</v>
      </c>
      <c r="K44" s="79">
        <f>W44+Z44+AC44+AF44+AI44+AL44+AO44+AR44+AU44+AX44+BA44+BD44</f>
        <v>0</v>
      </c>
      <c r="L44" s="13">
        <f t="shared" si="23"/>
        <v>0</v>
      </c>
      <c r="M44" s="13">
        <f t="shared" si="23"/>
        <v>0</v>
      </c>
      <c r="N44" s="13">
        <f t="shared" si="23"/>
        <v>0</v>
      </c>
      <c r="O44" s="79">
        <f t="shared" si="22"/>
        <v>0</v>
      </c>
      <c r="P44" s="79">
        <f t="shared" si="22"/>
        <v>0</v>
      </c>
      <c r="Q44" s="79">
        <f t="shared" si="20"/>
        <v>0</v>
      </c>
      <c r="R44" s="80" t="e">
        <f t="shared" si="17"/>
        <v>#DIV/0!</v>
      </c>
      <c r="S44" s="80" t="e">
        <f t="shared" si="17"/>
        <v>#DIV/0!</v>
      </c>
      <c r="T44" s="80" t="e">
        <f t="shared" si="2"/>
        <v>#DIV/0!</v>
      </c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4"/>
      <c r="BI44" s="85"/>
      <c r="BJ44" s="85"/>
      <c r="BK44" s="85"/>
      <c r="BL44" s="85"/>
    </row>
    <row r="45" spans="1:64" ht="18.75" customHeight="1" x14ac:dyDescent="0.25">
      <c r="A45" s="86"/>
      <c r="B45" s="86"/>
      <c r="C45" s="87"/>
      <c r="D45" s="88" t="s">
        <v>111</v>
      </c>
      <c r="E45" s="89">
        <f>SUM(E46:E46)</f>
        <v>8764.11</v>
      </c>
      <c r="F45" s="89">
        <f>SUM(F46:F46)</f>
        <v>0</v>
      </c>
      <c r="G45" s="89"/>
      <c r="H45" s="89">
        <f>SUM(H46:H46)</f>
        <v>0</v>
      </c>
      <c r="I45" s="89">
        <f>SUM(I46:I46)</f>
        <v>8764.11</v>
      </c>
      <c r="J45" s="89">
        <f>SUM(J46:J46)</f>
        <v>0</v>
      </c>
      <c r="K45" s="89">
        <f>SUM(K46:K46)</f>
        <v>0</v>
      </c>
      <c r="L45" s="89">
        <f t="shared" si="23"/>
        <v>8764.11</v>
      </c>
      <c r="M45" s="12">
        <f t="shared" si="23"/>
        <v>0</v>
      </c>
      <c r="N45" s="12">
        <f t="shared" si="23"/>
        <v>0</v>
      </c>
      <c r="O45" s="89">
        <f>SUM(O46:O46)</f>
        <v>0</v>
      </c>
      <c r="P45" s="89">
        <f>SUM(P46:P46)</f>
        <v>0</v>
      </c>
      <c r="Q45" s="89">
        <f>SUM(Q46:Q46)</f>
        <v>0</v>
      </c>
      <c r="R45" s="91">
        <f t="shared" ref="R45:S51" si="24">I45/E45</f>
        <v>1</v>
      </c>
      <c r="S45" s="91" t="e">
        <f t="shared" si="24"/>
        <v>#DIV/0!</v>
      </c>
      <c r="T45" s="91" t="e">
        <f t="shared" ref="T45:T56" si="25">K45/H45</f>
        <v>#DIV/0!</v>
      </c>
      <c r="U45" s="89">
        <f>SUM(U46:U46)</f>
        <v>0</v>
      </c>
      <c r="V45" s="89">
        <f>SUM(V46:V46)</f>
        <v>0</v>
      </c>
      <c r="W45" s="89">
        <f>SUM(W46:W46)</f>
        <v>0</v>
      </c>
      <c r="X45" s="89">
        <f>SUM(X46:X46)</f>
        <v>0</v>
      </c>
      <c r="Y45" s="89">
        <f>SUM(Y46:Y46)</f>
        <v>0</v>
      </c>
      <c r="Z45" s="89">
        <f>SUM(Z46:Z46)</f>
        <v>0</v>
      </c>
      <c r="AA45" s="89">
        <f>SUM(AA46:AA46)</f>
        <v>0</v>
      </c>
      <c r="AB45" s="89">
        <f>SUM(AB46:AB46)</f>
        <v>0</v>
      </c>
      <c r="AC45" s="89">
        <f>SUM(AC46:AC46)</f>
        <v>0</v>
      </c>
      <c r="AD45" s="89">
        <f>SUM(AD46:AD46)</f>
        <v>0</v>
      </c>
      <c r="AE45" s="89">
        <f>SUM(AE46:AE46)</f>
        <v>0</v>
      </c>
      <c r="AF45" s="89">
        <f>SUM(AF46:AF46)</f>
        <v>0</v>
      </c>
      <c r="AG45" s="89">
        <f>SUM(AG46:AG46)</f>
        <v>8764.11</v>
      </c>
      <c r="AH45" s="89">
        <f>SUM(AH46:AH46)</f>
        <v>0</v>
      </c>
      <c r="AI45" s="89">
        <f>SUM(AI46:AI46)</f>
        <v>0</v>
      </c>
      <c r="AJ45" s="89">
        <f>SUM(AJ46:AJ46)</f>
        <v>0</v>
      </c>
      <c r="AK45" s="89">
        <f>SUM(AK46:AK46)</f>
        <v>0</v>
      </c>
      <c r="AL45" s="89">
        <f>SUM(AL46:AL46)</f>
        <v>0</v>
      </c>
      <c r="AM45" s="89">
        <f>SUM(AM46:AM46)</f>
        <v>0</v>
      </c>
      <c r="AN45" s="89">
        <f>SUM(AN46:AN46)</f>
        <v>0</v>
      </c>
      <c r="AO45" s="89">
        <f>SUM(AO46:AO46)</f>
        <v>0</v>
      </c>
      <c r="AP45" s="89">
        <f>SUM(AP46:AP46)</f>
        <v>0</v>
      </c>
      <c r="AQ45" s="89">
        <f>SUM(AQ46:AQ46)</f>
        <v>0</v>
      </c>
      <c r="AR45" s="89">
        <f>SUM(AR46:AR46)</f>
        <v>0</v>
      </c>
      <c r="AS45" s="89">
        <f>SUM(AS46:AS46)</f>
        <v>0</v>
      </c>
      <c r="AT45" s="89">
        <f>SUM(AT46:AT46)</f>
        <v>0</v>
      </c>
      <c r="AU45" s="89">
        <f>SUM(AU46:AU46)</f>
        <v>0</v>
      </c>
      <c r="AV45" s="89">
        <f>SUM(AV46:AV46)</f>
        <v>0</v>
      </c>
      <c r="AW45" s="89">
        <f>SUM(AW46:AW46)</f>
        <v>0</v>
      </c>
      <c r="AX45" s="89">
        <f>SUM(AX46:AX46)</f>
        <v>0</v>
      </c>
      <c r="AY45" s="89">
        <f>SUM(AY46:AY46)</f>
        <v>0</v>
      </c>
      <c r="AZ45" s="89">
        <f>SUM(AZ46:AZ46)</f>
        <v>0</v>
      </c>
      <c r="BA45" s="89">
        <f>SUM(BA46:BA46)</f>
        <v>0</v>
      </c>
      <c r="BB45" s="89">
        <f>SUM(BB46:BB46)</f>
        <v>0</v>
      </c>
      <c r="BC45" s="89">
        <f>SUM(BC46:BC46)</f>
        <v>0</v>
      </c>
      <c r="BD45" s="89">
        <f>SUM(BD46:BD46)</f>
        <v>0</v>
      </c>
      <c r="BE45" s="89">
        <f>SUM(BE46:BE46)</f>
        <v>0</v>
      </c>
      <c r="BF45" s="89">
        <f>SUM(BF46:BF46)</f>
        <v>0</v>
      </c>
      <c r="BG45" s="89">
        <f>SUM(BG46:BG46)</f>
        <v>0</v>
      </c>
      <c r="BH45" s="67"/>
      <c r="BI45" s="68"/>
      <c r="BJ45" s="68"/>
      <c r="BK45" s="68"/>
      <c r="BL45" s="68"/>
    </row>
    <row r="46" spans="1:64" ht="15.75" customHeight="1" x14ac:dyDescent="0.25">
      <c r="A46" s="92"/>
      <c r="B46" s="92"/>
      <c r="C46" s="93" t="s">
        <v>79</v>
      </c>
      <c r="D46" s="94" t="s">
        <v>112</v>
      </c>
      <c r="E46" s="95">
        <v>8764.11</v>
      </c>
      <c r="F46" s="48"/>
      <c r="G46" s="48"/>
      <c r="H46" s="95"/>
      <c r="I46" s="24">
        <f t="shared" ref="I46:K46" si="26">U46+X46+AA46+AD46+AG46+AJ46+AM46+AP46+AS46+AV46+AY46+BB46</f>
        <v>8764.11</v>
      </c>
      <c r="J46" s="24">
        <f t="shared" si="26"/>
        <v>0</v>
      </c>
      <c r="K46" s="24">
        <f t="shared" si="26"/>
        <v>0</v>
      </c>
      <c r="L46" s="24">
        <f t="shared" si="23"/>
        <v>8764.11</v>
      </c>
      <c r="M46" s="13">
        <f t="shared" si="23"/>
        <v>0</v>
      </c>
      <c r="N46" s="13">
        <f t="shared" si="23"/>
        <v>0</v>
      </c>
      <c r="O46" s="24">
        <f>E46-I46</f>
        <v>0</v>
      </c>
      <c r="P46" s="24">
        <f>F46-J46</f>
        <v>0</v>
      </c>
      <c r="Q46" s="24">
        <f t="shared" ref="Q46" si="27">H46-K46</f>
        <v>0</v>
      </c>
      <c r="R46" s="26">
        <f t="shared" si="24"/>
        <v>1</v>
      </c>
      <c r="S46" s="26" t="e">
        <f t="shared" si="24"/>
        <v>#DIV/0!</v>
      </c>
      <c r="T46" s="26" t="e">
        <f t="shared" si="25"/>
        <v>#DIV/0!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>
        <v>8764.11</v>
      </c>
      <c r="AH46" s="48"/>
      <c r="AI46" s="7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7"/>
      <c r="BI46" s="28"/>
      <c r="BJ46" s="28"/>
      <c r="BK46" s="28"/>
      <c r="BL46" s="28"/>
    </row>
    <row r="47" spans="1:64" ht="15.75" customHeight="1" x14ac:dyDescent="0.25">
      <c r="A47" s="62"/>
      <c r="B47" s="62"/>
      <c r="C47" s="96"/>
      <c r="D47" s="64" t="s">
        <v>114</v>
      </c>
      <c r="E47" s="65">
        <f>SUM(E48:E48)</f>
        <v>2484.7799999999997</v>
      </c>
      <c r="F47" s="65">
        <f>SUM(F48:F48)</f>
        <v>0</v>
      </c>
      <c r="G47" s="65"/>
      <c r="H47" s="65">
        <f>SUM(H48:H48)</f>
        <v>0</v>
      </c>
      <c r="I47" s="65">
        <f>SUM(I48:I48)</f>
        <v>0</v>
      </c>
      <c r="J47" s="65">
        <f>SUM(J48:J48)</f>
        <v>0</v>
      </c>
      <c r="K47" s="65">
        <f>SUM(K48:K48)</f>
        <v>0</v>
      </c>
      <c r="L47" s="12">
        <f t="shared" si="23"/>
        <v>0</v>
      </c>
      <c r="M47" s="12">
        <f t="shared" si="23"/>
        <v>0</v>
      </c>
      <c r="N47" s="12">
        <f t="shared" si="23"/>
        <v>0</v>
      </c>
      <c r="O47" s="65">
        <f>SUM(O48:O48)</f>
        <v>2484.7799999999997</v>
      </c>
      <c r="P47" s="65">
        <f>SUM(P48:P48)</f>
        <v>0</v>
      </c>
      <c r="Q47" s="65">
        <f>SUM(Q48:Q48)</f>
        <v>0</v>
      </c>
      <c r="R47" s="97">
        <f t="shared" si="24"/>
        <v>0</v>
      </c>
      <c r="S47" s="97" t="e">
        <f t="shared" si="24"/>
        <v>#DIV/0!</v>
      </c>
      <c r="T47" s="97" t="e">
        <f t="shared" si="25"/>
        <v>#DIV/0!</v>
      </c>
      <c r="U47" s="65">
        <f>SUM(U48:U48)</f>
        <v>0</v>
      </c>
      <c r="V47" s="65">
        <f>SUM(V48:V48)</f>
        <v>0</v>
      </c>
      <c r="W47" s="65">
        <f>SUM(W48:W48)</f>
        <v>0</v>
      </c>
      <c r="X47" s="65">
        <f>SUM(X48:X48)</f>
        <v>0</v>
      </c>
      <c r="Y47" s="65">
        <f>SUM(Y48:Y48)</f>
        <v>0</v>
      </c>
      <c r="Z47" s="65">
        <f>SUM(Z48:Z48)</f>
        <v>0</v>
      </c>
      <c r="AA47" s="65">
        <f>SUM(AA48:AA48)</f>
        <v>0</v>
      </c>
      <c r="AB47" s="65">
        <f>SUM(AB48:AB48)</f>
        <v>0</v>
      </c>
      <c r="AC47" s="65">
        <f>SUM(AC48:AC48)</f>
        <v>0</v>
      </c>
      <c r="AD47" s="65">
        <f>SUM(AD48:AD48)</f>
        <v>0</v>
      </c>
      <c r="AE47" s="65">
        <f>SUM(AE48:AE48)</f>
        <v>0</v>
      </c>
      <c r="AF47" s="65">
        <f>SUM(AF48:AF48)</f>
        <v>0</v>
      </c>
      <c r="AG47" s="65">
        <f>SUM(AG48:AG48)</f>
        <v>0</v>
      </c>
      <c r="AH47" s="65">
        <f>SUM(AH48:AH48)</f>
        <v>0</v>
      </c>
      <c r="AI47" s="65">
        <f>SUM(AI48:AI48)</f>
        <v>0</v>
      </c>
      <c r="AJ47" s="65">
        <f>SUM(AJ48:AJ48)</f>
        <v>0</v>
      </c>
      <c r="AK47" s="65">
        <f>SUM(AK48:AK48)</f>
        <v>0</v>
      </c>
      <c r="AL47" s="65">
        <f>SUM(AL48:AL48)</f>
        <v>0</v>
      </c>
      <c r="AM47" s="65">
        <f>SUM(AM48:AM48)</f>
        <v>0</v>
      </c>
      <c r="AN47" s="65">
        <f>SUM(AN48:AN48)</f>
        <v>0</v>
      </c>
      <c r="AO47" s="65">
        <f>SUM(AO48:AO48)</f>
        <v>0</v>
      </c>
      <c r="AP47" s="65">
        <f>SUM(AP48:AP48)</f>
        <v>0</v>
      </c>
      <c r="AQ47" s="65">
        <f>SUM(AQ48:AQ48)</f>
        <v>0</v>
      </c>
      <c r="AR47" s="65">
        <f>SUM(AR48:AR48)</f>
        <v>0</v>
      </c>
      <c r="AS47" s="65">
        <f>SUM(AS48:AS48)</f>
        <v>0</v>
      </c>
      <c r="AT47" s="65">
        <f>SUM(AT48:AT48)</f>
        <v>0</v>
      </c>
      <c r="AU47" s="65">
        <f>SUM(AU48:AU48)</f>
        <v>0</v>
      </c>
      <c r="AV47" s="65">
        <f>SUM(AV48:AV48)</f>
        <v>0</v>
      </c>
      <c r="AW47" s="65">
        <f>SUM(AW48:AW48)</f>
        <v>0</v>
      </c>
      <c r="AX47" s="65">
        <f>SUM(AX48:AX48)</f>
        <v>0</v>
      </c>
      <c r="AY47" s="65">
        <f>SUM(AY48:AY48)</f>
        <v>0</v>
      </c>
      <c r="AZ47" s="65">
        <f>SUM(AZ48:AZ48)</f>
        <v>0</v>
      </c>
      <c r="BA47" s="65">
        <f>SUM(BA48:BA48)</f>
        <v>0</v>
      </c>
      <c r="BB47" s="65">
        <f>SUM(BB48:BB48)</f>
        <v>0</v>
      </c>
      <c r="BC47" s="65">
        <f>SUM(BC48:BC48)</f>
        <v>0</v>
      </c>
      <c r="BD47" s="65">
        <f>SUM(BD48:BD48)</f>
        <v>0</v>
      </c>
      <c r="BE47" s="65">
        <f>SUM(BE48:BE48)</f>
        <v>0</v>
      </c>
      <c r="BF47" s="65">
        <f>SUM(BF48:BF48)</f>
        <v>0</v>
      </c>
      <c r="BG47" s="65">
        <f>SUM(BG48:BG48)</f>
        <v>0</v>
      </c>
      <c r="BH47" s="67"/>
      <c r="BI47" s="68"/>
      <c r="BJ47" s="68"/>
      <c r="BK47" s="68"/>
      <c r="BL47" s="68"/>
    </row>
    <row r="48" spans="1:64" ht="15.75" customHeight="1" x14ac:dyDescent="0.25">
      <c r="A48" s="49"/>
      <c r="B48" s="20"/>
      <c r="C48" s="159" t="s">
        <v>34</v>
      </c>
      <c r="D48" s="168" t="s">
        <v>115</v>
      </c>
      <c r="E48" s="22">
        <f>834.78+1650</f>
        <v>2484.7799999999997</v>
      </c>
      <c r="F48" s="22"/>
      <c r="G48" s="22"/>
      <c r="H48" s="23"/>
      <c r="I48" s="24">
        <f t="shared" ref="I48:K48" si="28">U48+X48+AA48+AD48+AG48+AJ48+AM48+AP48+AS48+AV48+AY48+BB48</f>
        <v>0</v>
      </c>
      <c r="J48" s="24">
        <f t="shared" si="28"/>
        <v>0</v>
      </c>
      <c r="K48" s="24">
        <f t="shared" si="28"/>
        <v>0</v>
      </c>
      <c r="L48" s="13">
        <f t="shared" si="23"/>
        <v>0</v>
      </c>
      <c r="M48" s="13">
        <f t="shared" si="23"/>
        <v>0</v>
      </c>
      <c r="N48" s="13">
        <f t="shared" si="23"/>
        <v>0</v>
      </c>
      <c r="O48" s="24">
        <f t="shared" ref="O48:P48" si="29">E48-I48</f>
        <v>2484.7799999999997</v>
      </c>
      <c r="P48" s="24">
        <f t="shared" si="29"/>
        <v>0</v>
      </c>
      <c r="Q48" s="24">
        <f t="shared" ref="Q48" si="30">H48-K48</f>
        <v>0</v>
      </c>
      <c r="R48" s="26">
        <f t="shared" si="24"/>
        <v>0</v>
      </c>
      <c r="S48" s="26" t="e">
        <f t="shared" si="24"/>
        <v>#DIV/0!</v>
      </c>
      <c r="T48" s="26" t="e">
        <f t="shared" si="25"/>
        <v>#DIV/0!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7"/>
      <c r="BI48" s="28"/>
      <c r="BJ48" s="28"/>
      <c r="BK48" s="28"/>
      <c r="BL48" s="28"/>
    </row>
    <row r="49" spans="1:64" ht="15.75" customHeight="1" x14ac:dyDescent="0.25">
      <c r="A49" s="62"/>
      <c r="B49" s="62"/>
      <c r="C49" s="96"/>
      <c r="D49" s="64" t="s">
        <v>116</v>
      </c>
      <c r="E49" s="65">
        <f>SUM(E50:E51)</f>
        <v>14832</v>
      </c>
      <c r="F49" s="65">
        <f>SUM(F50:F51)</f>
        <v>31110.16</v>
      </c>
      <c r="G49" s="65"/>
      <c r="H49" s="65">
        <f>SUM(H50:H51)</f>
        <v>0</v>
      </c>
      <c r="I49" s="65">
        <f>SUM(I50:I51)</f>
        <v>13630</v>
      </c>
      <c r="J49" s="65">
        <f>SUM(J50:J51)</f>
        <v>31110.160000000003</v>
      </c>
      <c r="K49" s="65">
        <f>SUM(K50:K51)</f>
        <v>0</v>
      </c>
      <c r="L49" s="12">
        <f t="shared" si="23"/>
        <v>13630</v>
      </c>
      <c r="M49" s="12">
        <f t="shared" si="23"/>
        <v>31110.160000000003</v>
      </c>
      <c r="N49" s="12">
        <f t="shared" si="23"/>
        <v>0</v>
      </c>
      <c r="O49" s="65">
        <f>SUM(O50:O51)</f>
        <v>1202</v>
      </c>
      <c r="P49" s="65">
        <f>SUM(P50:P51)</f>
        <v>0</v>
      </c>
      <c r="Q49" s="65">
        <f>SUM(Q50:Q51)</f>
        <v>0</v>
      </c>
      <c r="R49" s="97">
        <f t="shared" si="24"/>
        <v>0.9189590075512406</v>
      </c>
      <c r="S49" s="97">
        <f t="shared" si="24"/>
        <v>1.0000000000000002</v>
      </c>
      <c r="T49" s="97" t="e">
        <f t="shared" si="25"/>
        <v>#DIV/0!</v>
      </c>
      <c r="U49" s="65">
        <f>SUM(U50:U51)</f>
        <v>0</v>
      </c>
      <c r="V49" s="65">
        <f>SUM(V50:V51)</f>
        <v>0</v>
      </c>
      <c r="W49" s="65">
        <f>SUM(W50:W51)</f>
        <v>0</v>
      </c>
      <c r="X49" s="65">
        <f>SUM(X50:X51)</f>
        <v>0</v>
      </c>
      <c r="Y49" s="65">
        <f>SUM(Y50:Y51)</f>
        <v>356.18</v>
      </c>
      <c r="Z49" s="65">
        <f>SUM(Z50:Z51)</f>
        <v>0</v>
      </c>
      <c r="AA49" s="65">
        <f>SUM(AA50:AA51)</f>
        <v>0</v>
      </c>
      <c r="AB49" s="65">
        <f>SUM(AB50:AB51)</f>
        <v>16409.300000000003</v>
      </c>
      <c r="AC49" s="65">
        <f>SUM(AC50:AC51)</f>
        <v>0</v>
      </c>
      <c r="AD49" s="65">
        <f>SUM(AD50:AD51)</f>
        <v>0</v>
      </c>
      <c r="AE49" s="65">
        <f>SUM(AE50:AE51)</f>
        <v>11124.68</v>
      </c>
      <c r="AF49" s="65">
        <f>SUM(AF50:AF51)</f>
        <v>0</v>
      </c>
      <c r="AG49" s="65">
        <f>SUM(AG50:AG51)</f>
        <v>0</v>
      </c>
      <c r="AH49" s="65">
        <f>SUM(AH50:AH51)</f>
        <v>0</v>
      </c>
      <c r="AI49" s="65">
        <f>SUM(AI50:AI51)</f>
        <v>0</v>
      </c>
      <c r="AJ49" s="65">
        <f>SUM(AJ50:AJ51)</f>
        <v>780</v>
      </c>
      <c r="AK49" s="65">
        <f>SUM(AK50:AK51)</f>
        <v>3220</v>
      </c>
      <c r="AL49" s="65">
        <f>SUM(AL50:AL51)</f>
        <v>0</v>
      </c>
      <c r="AM49" s="65">
        <f>SUM(AM50:AM51)</f>
        <v>6850</v>
      </c>
      <c r="AN49" s="65">
        <f>SUM(AN50:AN51)</f>
        <v>0</v>
      </c>
      <c r="AO49" s="65">
        <f>SUM(AO50:AO51)</f>
        <v>0</v>
      </c>
      <c r="AP49" s="65">
        <f>SUM(AP50:AP51)</f>
        <v>0</v>
      </c>
      <c r="AQ49" s="65">
        <f>SUM(AQ50:AQ51)</f>
        <v>0</v>
      </c>
      <c r="AR49" s="65">
        <f>SUM(AR50:AR51)</f>
        <v>0</v>
      </c>
      <c r="AS49" s="65">
        <f>SUM(AS50:AS51)</f>
        <v>6000</v>
      </c>
      <c r="AT49" s="65">
        <f>SUM(AT50:AT51)</f>
        <v>0</v>
      </c>
      <c r="AU49" s="65">
        <f>SUM(AU50:AU51)</f>
        <v>0</v>
      </c>
      <c r="AV49" s="65">
        <f>SUM(AV50:AV51)</f>
        <v>0</v>
      </c>
      <c r="AW49" s="65">
        <f>SUM(AW50:AW51)</f>
        <v>0</v>
      </c>
      <c r="AX49" s="65">
        <f>SUM(AX50:AX51)</f>
        <v>0</v>
      </c>
      <c r="AY49" s="65">
        <f>SUM(AY50:AY51)</f>
        <v>0</v>
      </c>
      <c r="AZ49" s="65">
        <f>SUM(AZ50:AZ51)</f>
        <v>0</v>
      </c>
      <c r="BA49" s="65">
        <f>SUM(BA50:BA51)</f>
        <v>0</v>
      </c>
      <c r="BB49" s="65">
        <f>SUM(BB50:BB51)</f>
        <v>0</v>
      </c>
      <c r="BC49" s="65">
        <f>SUM(BC50:BC51)</f>
        <v>0</v>
      </c>
      <c r="BD49" s="65">
        <f>SUM(BD50:BD51)</f>
        <v>0</v>
      </c>
      <c r="BE49" s="65">
        <f>SUM(BE50:BE51)</f>
        <v>0</v>
      </c>
      <c r="BF49" s="65">
        <f>SUM(BF50:BF51)</f>
        <v>0</v>
      </c>
      <c r="BG49" s="65">
        <f>SUM(BG50:BG51)</f>
        <v>0</v>
      </c>
      <c r="BH49" s="67"/>
      <c r="BI49" s="68"/>
      <c r="BJ49" s="68"/>
      <c r="BK49" s="68"/>
      <c r="BL49" s="68"/>
    </row>
    <row r="50" spans="1:64" ht="15.75" customHeight="1" x14ac:dyDescent="0.25">
      <c r="A50" s="29"/>
      <c r="B50" s="29"/>
      <c r="C50" s="161" t="s">
        <v>117</v>
      </c>
      <c r="D50" s="160" t="s">
        <v>118</v>
      </c>
      <c r="E50" s="23">
        <f>132</f>
        <v>132</v>
      </c>
      <c r="F50" s="47"/>
      <c r="G50" s="47"/>
      <c r="H50" s="23"/>
      <c r="I50" s="24">
        <f t="shared" ref="I50:K51" si="31">U50+X50+AA50+AD50+AG50+AJ50+AM50+AP50+AS50+AV50+AY50+BB50</f>
        <v>0</v>
      </c>
      <c r="J50" s="24">
        <f t="shared" si="31"/>
        <v>0</v>
      </c>
      <c r="K50" s="24">
        <f t="shared" si="31"/>
        <v>0</v>
      </c>
      <c r="L50" s="13">
        <f t="shared" si="23"/>
        <v>0</v>
      </c>
      <c r="M50" s="13">
        <f t="shared" si="23"/>
        <v>0</v>
      </c>
      <c r="N50" s="13">
        <f t="shared" si="23"/>
        <v>0</v>
      </c>
      <c r="O50" s="24">
        <f t="shared" ref="O50:P51" si="32">E50-I50</f>
        <v>132</v>
      </c>
      <c r="P50" s="24">
        <f t="shared" si="32"/>
        <v>0</v>
      </c>
      <c r="Q50" s="24">
        <f t="shared" ref="Q50:Q51" si="33">H50-K50</f>
        <v>0</v>
      </c>
      <c r="R50" s="26">
        <f t="shared" si="24"/>
        <v>0</v>
      </c>
      <c r="S50" s="26" t="e">
        <f t="shared" si="24"/>
        <v>#DIV/0!</v>
      </c>
      <c r="T50" s="26" t="e">
        <f t="shared" si="25"/>
        <v>#DIV/0!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7"/>
      <c r="BI50" s="28"/>
      <c r="BJ50" s="28"/>
      <c r="BK50" s="28"/>
      <c r="BL50" s="28"/>
    </row>
    <row r="51" spans="1:64" ht="15.75" x14ac:dyDescent="0.25">
      <c r="A51" s="49" t="s">
        <v>119</v>
      </c>
      <c r="B51" s="50" t="s">
        <v>120</v>
      </c>
      <c r="C51" s="161" t="s">
        <v>121</v>
      </c>
      <c r="D51" s="160" t="s">
        <v>122</v>
      </c>
      <c r="E51" s="22">
        <f>6850+7850</f>
        <v>14700</v>
      </c>
      <c r="F51" s="37">
        <f>25531.62+2000+3578.54</f>
        <v>31110.16</v>
      </c>
      <c r="G51" s="37"/>
      <c r="H51" s="23"/>
      <c r="I51" s="24">
        <f t="shared" si="31"/>
        <v>13630</v>
      </c>
      <c r="J51" s="24">
        <f t="shared" si="31"/>
        <v>31110.160000000003</v>
      </c>
      <c r="K51" s="24">
        <f t="shared" si="31"/>
        <v>0</v>
      </c>
      <c r="L51" s="24">
        <f t="shared" si="23"/>
        <v>13630</v>
      </c>
      <c r="M51" s="24">
        <f t="shared" si="23"/>
        <v>31110.160000000003</v>
      </c>
      <c r="N51" s="13">
        <f t="shared" si="23"/>
        <v>0</v>
      </c>
      <c r="O51" s="24">
        <f t="shared" si="32"/>
        <v>1070</v>
      </c>
      <c r="P51" s="24">
        <f>F51-J51</f>
        <v>0</v>
      </c>
      <c r="Q51" s="24">
        <f t="shared" si="33"/>
        <v>0</v>
      </c>
      <c r="R51" s="26">
        <f t="shared" si="24"/>
        <v>0.92721088435374155</v>
      </c>
      <c r="S51" s="26">
        <f t="shared" si="24"/>
        <v>1.0000000000000002</v>
      </c>
      <c r="T51" s="26" t="e">
        <f t="shared" si="25"/>
        <v>#DIV/0!</v>
      </c>
      <c r="U51" s="22"/>
      <c r="V51" s="22"/>
      <c r="W51" s="22"/>
      <c r="X51" s="22"/>
      <c r="Y51" s="22">
        <f>221.36+352-217.18</f>
        <v>356.18</v>
      </c>
      <c r="Z51" s="22"/>
      <c r="AA51" s="22"/>
      <c r="AB51" s="22">
        <f>1760+1360+2000+640+768+3840+1106.78+2448+768+153.6+489.6+1075.32</f>
        <v>16409.300000000003</v>
      </c>
      <c r="AC51" s="22"/>
      <c r="AD51" s="22"/>
      <c r="AE51" s="22">
        <f>1075.68+1683+1683+1683+2500+2500</f>
        <v>11124.68</v>
      </c>
      <c r="AF51" s="22"/>
      <c r="AG51" s="22"/>
      <c r="AH51" s="22"/>
      <c r="AI51" s="22"/>
      <c r="AJ51" s="22">
        <f>780</f>
        <v>780</v>
      </c>
      <c r="AK51" s="22">
        <f>2000+1220</f>
        <v>3220</v>
      </c>
      <c r="AL51" s="22"/>
      <c r="AM51" s="22">
        <v>6850</v>
      </c>
      <c r="AN51" s="22"/>
      <c r="AO51" s="22"/>
      <c r="AP51" s="22"/>
      <c r="AQ51" s="22"/>
      <c r="AR51" s="22"/>
      <c r="AS51" s="22">
        <f>400+3600+1000+1000</f>
        <v>6000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7"/>
      <c r="BI51" s="28"/>
      <c r="BJ51" s="28"/>
      <c r="BK51" s="28"/>
      <c r="BL51" s="28"/>
    </row>
    <row r="52" spans="1:64" ht="15.75" customHeight="1" x14ac:dyDescent="0.25">
      <c r="A52" s="62"/>
      <c r="B52" s="62"/>
      <c r="C52" s="96"/>
      <c r="D52" s="64" t="s">
        <v>123</v>
      </c>
      <c r="E52" s="65">
        <f>SUM(E54:E54)</f>
        <v>0</v>
      </c>
      <c r="F52" s="65">
        <f>SUM(F54:F54)</f>
        <v>419086</v>
      </c>
      <c r="G52" s="65"/>
      <c r="H52" s="65">
        <f>SUM(H54:H54)</f>
        <v>0</v>
      </c>
      <c r="I52" s="65">
        <f>SUM(I54:I54)</f>
        <v>0</v>
      </c>
      <c r="J52" s="65">
        <f>SUM(J54:J54)</f>
        <v>419086</v>
      </c>
      <c r="K52" s="65">
        <f>SUM(K54:K54)</f>
        <v>0</v>
      </c>
      <c r="L52" s="12">
        <f t="shared" ref="L52:L56" si="34">IF(BE52=0,SUM(U52+X52+AA52+AD52+AG52+AJ52+AM52+AP52+AS52+AV52+AY52+BB52),BE52)</f>
        <v>0</v>
      </c>
      <c r="M52" s="12">
        <f t="shared" ref="M52:M56" si="35">IF(BF52=0,SUM(V52+Y52+AB52+AE52+AH52+AK52+AN52+AQ52+AT52+AW52+AZ52+BC52),BF52)</f>
        <v>419086</v>
      </c>
      <c r="N52" s="12">
        <f t="shared" ref="N52:N56" si="36">IF(BG52=0,SUM(W52+Z52+AC52+AF52+AI52+AL52+AO52+AR52+AU52+AX52+BA52+BD52),BG52)</f>
        <v>0</v>
      </c>
      <c r="O52" s="65">
        <f>SUM(O54:O54)</f>
        <v>0</v>
      </c>
      <c r="P52" s="65">
        <f>SUM(P54:P54)</f>
        <v>0</v>
      </c>
      <c r="Q52" s="65">
        <f>SUM(Q54:Q54)</f>
        <v>0</v>
      </c>
      <c r="R52" s="97" t="e">
        <f t="shared" ref="R52:S56" si="37">I52/E52</f>
        <v>#DIV/0!</v>
      </c>
      <c r="S52" s="97">
        <f t="shared" si="37"/>
        <v>1</v>
      </c>
      <c r="T52" s="97" t="e">
        <f t="shared" si="25"/>
        <v>#DIV/0!</v>
      </c>
      <c r="U52" s="65">
        <f>SUM(U54:U54)</f>
        <v>0</v>
      </c>
      <c r="V52" s="65">
        <f>SUM(V54:V54)</f>
        <v>0</v>
      </c>
      <c r="W52" s="65">
        <f>SUM(W54:W54)</f>
        <v>0</v>
      </c>
      <c r="X52" s="65">
        <f>SUM(X54:X54)</f>
        <v>0</v>
      </c>
      <c r="Y52" s="65">
        <f>SUM(Y54:Y54)</f>
        <v>0</v>
      </c>
      <c r="Z52" s="65">
        <f>SUM(Z54:Z54)</f>
        <v>0</v>
      </c>
      <c r="AA52" s="65">
        <f>SUM(AA54:AA54)</f>
        <v>0</v>
      </c>
      <c r="AB52" s="65">
        <f>SUM(AB54:AB54)</f>
        <v>74011</v>
      </c>
      <c r="AC52" s="65">
        <f>SUM(AC54:AC54)</f>
        <v>0</v>
      </c>
      <c r="AD52" s="65">
        <f>SUM(AD54:AD54)</f>
        <v>0</v>
      </c>
      <c r="AE52" s="65">
        <f>SUM(AE54:AE54)</f>
        <v>297825</v>
      </c>
      <c r="AF52" s="65">
        <f>SUM(AF54:AF54)</f>
        <v>0</v>
      </c>
      <c r="AG52" s="65">
        <f>SUM(AG54:AG54)</f>
        <v>0</v>
      </c>
      <c r="AH52" s="65">
        <f>SUM(AH54:AH54)</f>
        <v>41800</v>
      </c>
      <c r="AI52" s="65">
        <f>SUM(AI54:AI54)</f>
        <v>0</v>
      </c>
      <c r="AJ52" s="65">
        <f>SUM(AJ54:AJ54)</f>
        <v>0</v>
      </c>
      <c r="AK52" s="65">
        <f>SUM(AK54:AK54)</f>
        <v>5450</v>
      </c>
      <c r="AL52" s="65">
        <f>SUM(AL54:AL54)</f>
        <v>0</v>
      </c>
      <c r="AM52" s="65">
        <f>SUM(AM54:AM54)</f>
        <v>0</v>
      </c>
      <c r="AN52" s="65">
        <f>SUM(AN54:AN54)</f>
        <v>0</v>
      </c>
      <c r="AO52" s="65">
        <f>SUM(AO54:AO54)</f>
        <v>0</v>
      </c>
      <c r="AP52" s="65">
        <f>SUM(AP54:AP54)</f>
        <v>0</v>
      </c>
      <c r="AQ52" s="65">
        <f>SUM(AQ54:AQ54)</f>
        <v>0</v>
      </c>
      <c r="AR52" s="65">
        <f>SUM(AR54:AR54)</f>
        <v>0</v>
      </c>
      <c r="AS52" s="65">
        <f>SUM(AS54:AS54)</f>
        <v>0</v>
      </c>
      <c r="AT52" s="65">
        <f>SUM(AT54:AT54)</f>
        <v>0</v>
      </c>
      <c r="AU52" s="65">
        <f>SUM(AU54:AU54)</f>
        <v>0</v>
      </c>
      <c r="AV52" s="65">
        <f>SUM(AV54:AV54)</f>
        <v>0</v>
      </c>
      <c r="AW52" s="65">
        <f>SUM(AW54:AW54)</f>
        <v>0</v>
      </c>
      <c r="AX52" s="65">
        <f>SUM(AX54:AX54)</f>
        <v>0</v>
      </c>
      <c r="AY52" s="65">
        <f>SUM(AY54:AY54)</f>
        <v>0</v>
      </c>
      <c r="AZ52" s="65">
        <f>SUM(AZ54:AZ54)</f>
        <v>0</v>
      </c>
      <c r="BA52" s="65">
        <f>SUM(BA54:BA54)</f>
        <v>0</v>
      </c>
      <c r="BB52" s="65">
        <f>SUM(BB54:BB54)</f>
        <v>0</v>
      </c>
      <c r="BC52" s="65">
        <f>SUM(BC54:BC54)</f>
        <v>0</v>
      </c>
      <c r="BD52" s="65">
        <f>SUM(BD54:BD54)</f>
        <v>0</v>
      </c>
      <c r="BE52" s="65">
        <f>SUM(BE54:BE54)</f>
        <v>0</v>
      </c>
      <c r="BF52" s="65">
        <f>SUM(BF54:BF54)</f>
        <v>0</v>
      </c>
      <c r="BG52" s="65">
        <f>SUM(BG54:BG54)</f>
        <v>0</v>
      </c>
      <c r="BH52" s="67"/>
      <c r="BI52" s="68"/>
      <c r="BJ52" s="68"/>
      <c r="BK52" s="68"/>
      <c r="BL52" s="68"/>
    </row>
    <row r="53" spans="1:64" ht="15.75" customHeight="1" x14ac:dyDescent="0.25">
      <c r="A53" s="73"/>
      <c r="B53" s="73"/>
      <c r="C53" s="74"/>
      <c r="D53" s="75" t="s">
        <v>124</v>
      </c>
      <c r="E53" s="78"/>
      <c r="F53" s="78"/>
      <c r="G53" s="78"/>
      <c r="H53" s="78"/>
      <c r="I53" s="79"/>
      <c r="J53" s="79"/>
      <c r="K53" s="79"/>
      <c r="L53" s="13"/>
      <c r="M53" s="13"/>
      <c r="N53" s="13"/>
      <c r="O53" s="79"/>
      <c r="P53" s="79"/>
      <c r="Q53" s="79"/>
      <c r="R53" s="80"/>
      <c r="S53" s="80"/>
      <c r="T53" s="80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4"/>
      <c r="BI53" s="85"/>
      <c r="BJ53" s="85"/>
      <c r="BK53" s="85"/>
      <c r="BL53" s="85"/>
    </row>
    <row r="54" spans="1:64" ht="15.75" customHeight="1" x14ac:dyDescent="0.25">
      <c r="A54" s="98"/>
      <c r="B54" s="98" t="s">
        <v>125</v>
      </c>
      <c r="C54" s="99" t="s">
        <v>126</v>
      </c>
      <c r="D54" s="75" t="s">
        <v>127</v>
      </c>
      <c r="E54" s="78"/>
      <c r="F54" s="78">
        <f>74011+297825+41800+5450</f>
        <v>419086</v>
      </c>
      <c r="G54" s="78"/>
      <c r="H54" s="78"/>
      <c r="I54" s="79">
        <f t="shared" ref="I54:K54" si="38">U54+X54+AA54+AD54+AG54+AJ54+AM54+AP54+AS54+AV54+AY54+BB54</f>
        <v>0</v>
      </c>
      <c r="J54" s="79">
        <f t="shared" si="38"/>
        <v>419086</v>
      </c>
      <c r="K54" s="79">
        <f t="shared" si="38"/>
        <v>0</v>
      </c>
      <c r="L54" s="13">
        <f t="shared" si="34"/>
        <v>0</v>
      </c>
      <c r="M54" s="79">
        <f t="shared" si="35"/>
        <v>419086</v>
      </c>
      <c r="N54" s="13">
        <f t="shared" si="36"/>
        <v>0</v>
      </c>
      <c r="O54" s="79">
        <f t="shared" ref="O54:P54" si="39">E54-I54</f>
        <v>0</v>
      </c>
      <c r="P54" s="79">
        <f t="shared" si="39"/>
        <v>0</v>
      </c>
      <c r="Q54" s="79">
        <f t="shared" ref="Q54" si="40">H54-K54</f>
        <v>0</v>
      </c>
      <c r="R54" s="80" t="e">
        <f t="shared" si="37"/>
        <v>#DIV/0!</v>
      </c>
      <c r="S54" s="80">
        <f t="shared" si="37"/>
        <v>1</v>
      </c>
      <c r="T54" s="80" t="e">
        <f t="shared" si="25"/>
        <v>#DIV/0!</v>
      </c>
      <c r="U54" s="76"/>
      <c r="V54" s="76"/>
      <c r="W54" s="76"/>
      <c r="X54" s="76"/>
      <c r="Y54" s="76"/>
      <c r="Z54" s="76"/>
      <c r="AA54" s="76"/>
      <c r="AB54" s="76">
        <f>74011</f>
        <v>74011</v>
      </c>
      <c r="AC54" s="76"/>
      <c r="AD54" s="76"/>
      <c r="AE54" s="76">
        <v>297825</v>
      </c>
      <c r="AF54" s="76"/>
      <c r="AG54" s="76"/>
      <c r="AH54" s="76">
        <v>41800</v>
      </c>
      <c r="AI54" s="76"/>
      <c r="AJ54" s="82"/>
      <c r="AK54" s="82">
        <v>5450</v>
      </c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4"/>
      <c r="BI54" s="85"/>
      <c r="BJ54" s="85"/>
      <c r="BK54" s="85"/>
      <c r="BL54" s="85"/>
    </row>
    <row r="55" spans="1:64" ht="21" x14ac:dyDescent="0.25">
      <c r="A55" s="17"/>
      <c r="B55" s="17"/>
      <c r="C55" s="17" t="s">
        <v>129</v>
      </c>
      <c r="D55" s="17"/>
      <c r="E55" s="18">
        <f>E56+E60+E62+E77+E81+E84</f>
        <v>20230</v>
      </c>
      <c r="F55" s="18">
        <f>F56+F60+F62+F77+F81+F84</f>
        <v>314448.07</v>
      </c>
      <c r="G55" s="18">
        <f>G56+G60+G62+G77+G81+G84</f>
        <v>5588.05</v>
      </c>
      <c r="H55" s="18">
        <f>H56+H60+H62+H77+H81+H84</f>
        <v>142873.54999999999</v>
      </c>
      <c r="I55" s="18">
        <f>I56+I60+I62+I77+I81+I84</f>
        <v>0</v>
      </c>
      <c r="J55" s="18">
        <f>J56+J60+J62+J77+J81+J84</f>
        <v>292798.59999999998</v>
      </c>
      <c r="K55" s="18">
        <f>K56+K60+K62+K77+K81+K84</f>
        <v>39920</v>
      </c>
      <c r="L55" s="18">
        <f t="shared" si="34"/>
        <v>10630</v>
      </c>
      <c r="M55" s="18">
        <f t="shared" si="35"/>
        <v>292798.60000000003</v>
      </c>
      <c r="N55" s="18">
        <f t="shared" si="36"/>
        <v>39920</v>
      </c>
      <c r="O55" s="18">
        <f>O56+O60+O62+O77+O81+O84</f>
        <v>9600</v>
      </c>
      <c r="P55" s="18">
        <f>P56+P60+P62+P77+P81+P84</f>
        <v>16061.420000000013</v>
      </c>
      <c r="Q55" s="18">
        <f>Q56+Q60+Q62+Q77+Q81+Q84</f>
        <v>102953.54999999999</v>
      </c>
      <c r="R55" s="19">
        <f t="shared" si="37"/>
        <v>0</v>
      </c>
      <c r="S55" s="19">
        <f t="shared" si="37"/>
        <v>0.93115088923904021</v>
      </c>
      <c r="T55" s="19">
        <f t="shared" si="25"/>
        <v>0.27940791000153636</v>
      </c>
      <c r="U55" s="18">
        <f>U56+U60+U62+U77+U81+U84</f>
        <v>0</v>
      </c>
      <c r="V55" s="18">
        <f>V56+V60+V62+V77+V81+V84</f>
        <v>3905.01</v>
      </c>
      <c r="W55" s="18">
        <f>W56+W60+W62+W77+W81+W84</f>
        <v>0</v>
      </c>
      <c r="X55" s="18">
        <f>X56+X60+X62+X77+X81+X84</f>
        <v>0</v>
      </c>
      <c r="Y55" s="18">
        <f>Y56+Y60+Y62+Y77+Y81+Y84</f>
        <v>40162.520000000004</v>
      </c>
      <c r="Z55" s="18">
        <f>Z56+Z60+Z62+Z77+Z81+Z84</f>
        <v>0</v>
      </c>
      <c r="AA55" s="18">
        <f>AA56+AA60+AA62+AA77+AA81+AA84</f>
        <v>0</v>
      </c>
      <c r="AB55" s="18">
        <f>AB56+AB60+AB62+AB77+AB81+AB84</f>
        <v>71236.800000000003</v>
      </c>
      <c r="AC55" s="18">
        <f>AC56+AC60+AC62+AC77+AC81+AC84</f>
        <v>0</v>
      </c>
      <c r="AD55" s="18">
        <f>AD56+AD60+AD62+AD77+AD81+AD84</f>
        <v>0</v>
      </c>
      <c r="AE55" s="18">
        <f>AE56+AE60+AE62+AE77+AE81+AE84</f>
        <v>2289.6799999999998</v>
      </c>
      <c r="AF55" s="18">
        <f>AF56+AF60+AF62+AF77+AF81+AF84</f>
        <v>11360</v>
      </c>
      <c r="AG55" s="18">
        <f>AG56+AG60+AG62+AG77+AG81+AG84</f>
        <v>0</v>
      </c>
      <c r="AH55" s="18">
        <f>AH56+AH60+AH62+AH77+AH81+AH84</f>
        <v>18570.449999999997</v>
      </c>
      <c r="AI55" s="18">
        <f>AI56+AI60+AI62+AI77+AI81+AI84</f>
        <v>13760</v>
      </c>
      <c r="AJ55" s="18">
        <f>AJ56+AJ60+AJ62+AJ77+AJ81+AJ84</f>
        <v>0</v>
      </c>
      <c r="AK55" s="18">
        <f>AK56+AK60+AK62+AK77+AK81+AK84</f>
        <v>148386</v>
      </c>
      <c r="AL55" s="18">
        <f>AL56+AL60+AL62+AL77+AL81+AL84</f>
        <v>14800</v>
      </c>
      <c r="AM55" s="18">
        <f>AM56+AM60+AM62+AM77+AM81+AM84</f>
        <v>0</v>
      </c>
      <c r="AN55" s="18">
        <f>AN56+AN60+AN62+AN77+AN81+AN84</f>
        <v>5930.59</v>
      </c>
      <c r="AO55" s="18">
        <f>AO56+AO60+AO62+AO77+AO81+AO84</f>
        <v>0</v>
      </c>
      <c r="AP55" s="18">
        <f>AP56+AP60+AP62+AP77+AP81+AP84</f>
        <v>10630</v>
      </c>
      <c r="AQ55" s="18">
        <f>AQ56+AQ60+AQ62+AQ77+AQ81+AQ84</f>
        <v>1267.55</v>
      </c>
      <c r="AR55" s="18">
        <f>AR56+AR60+AR62+AR77+AR81+AR84</f>
        <v>0</v>
      </c>
      <c r="AS55" s="18">
        <f>AS56+AS60+AS62+AS77+AS81+AS84</f>
        <v>0</v>
      </c>
      <c r="AT55" s="18">
        <f>AT56+AT60+AT62+AT77+AT81+AT84</f>
        <v>1050</v>
      </c>
      <c r="AU55" s="18">
        <f>AU56+AU60+AU62+AU77+AU81+AU84</f>
        <v>0</v>
      </c>
      <c r="AV55" s="18">
        <f>AV56+AV60+AV62+AV77+AV81+AV84</f>
        <v>0</v>
      </c>
      <c r="AW55" s="18">
        <f>AW56+AW60+AW62+AW77+AW81+AW84</f>
        <v>0</v>
      </c>
      <c r="AX55" s="18">
        <f>AX56+AX60+AX62+AX77+AX81+AX84</f>
        <v>0</v>
      </c>
      <c r="AY55" s="18">
        <f>AY56+AY60+AY62+AY77+AY81+AY84</f>
        <v>0</v>
      </c>
      <c r="AZ55" s="18">
        <f>AZ56+AZ60+AZ62+AZ77+AZ81+AZ84</f>
        <v>0</v>
      </c>
      <c r="BA55" s="18">
        <f>BA56+BA60+BA62+BA77+BA81+BA84</f>
        <v>0</v>
      </c>
      <c r="BB55" s="18">
        <f>BB56+BB60+BB62+BB77+BB81+BB84</f>
        <v>0</v>
      </c>
      <c r="BC55" s="18">
        <f>BC56+BC60+BC62+BC77+BC81+BC84</f>
        <v>0</v>
      </c>
      <c r="BD55" s="18">
        <f>BD56+BD60+BD62+BD77+BD81+BD84</f>
        <v>0</v>
      </c>
      <c r="BE55" s="18">
        <f>BE56+BE60+BE62+BE77+BE81+BE84</f>
        <v>0</v>
      </c>
      <c r="BF55" s="18">
        <f>BF56+BF60+BF62+BF77+BF81+BF84</f>
        <v>0</v>
      </c>
      <c r="BG55" s="18">
        <f>BG56+BG60+BG62+BG77+BG81+BG84</f>
        <v>0</v>
      </c>
      <c r="BH55" s="60"/>
      <c r="BI55" s="61"/>
      <c r="BJ55" s="61"/>
      <c r="BK55" s="61"/>
      <c r="BL55" s="61"/>
    </row>
    <row r="56" spans="1:64" ht="15.75" customHeight="1" x14ac:dyDescent="0.25">
      <c r="A56" s="62"/>
      <c r="B56" s="62"/>
      <c r="C56" s="63"/>
      <c r="D56" s="64" t="s">
        <v>98</v>
      </c>
      <c r="E56" s="65">
        <f>SUM(E57:E59)</f>
        <v>730</v>
      </c>
      <c r="F56" s="65">
        <f>SUM(F57:F59)</f>
        <v>157466.56</v>
      </c>
      <c r="G56" s="65">
        <f>SUM(G57:G59)</f>
        <v>5588.05</v>
      </c>
      <c r="H56" s="65">
        <f>SUM(H57:H59)</f>
        <v>0</v>
      </c>
      <c r="I56" s="65">
        <f>SUM(I57:I59)</f>
        <v>0</v>
      </c>
      <c r="J56" s="65">
        <f>SUM(J57:J59)</f>
        <v>151878.51</v>
      </c>
      <c r="K56" s="65">
        <f>SUM(K57:K59)</f>
        <v>0</v>
      </c>
      <c r="L56" s="12">
        <f t="shared" si="34"/>
        <v>730</v>
      </c>
      <c r="M56" s="12">
        <f t="shared" si="35"/>
        <v>151878.51</v>
      </c>
      <c r="N56" s="12">
        <f t="shared" si="36"/>
        <v>0</v>
      </c>
      <c r="O56" s="65">
        <f>SUM(O57:O59)</f>
        <v>0</v>
      </c>
      <c r="P56" s="65">
        <f>SUM(P57:P59)</f>
        <v>0</v>
      </c>
      <c r="Q56" s="65">
        <f>SUM(Q57:Q59)</f>
        <v>0</v>
      </c>
      <c r="R56" s="97">
        <f t="shared" si="37"/>
        <v>0</v>
      </c>
      <c r="S56" s="97">
        <f t="shared" si="37"/>
        <v>0.96451278290451004</v>
      </c>
      <c r="T56" s="97" t="e">
        <f t="shared" si="25"/>
        <v>#DIV/0!</v>
      </c>
      <c r="U56" s="65">
        <f>SUM(U57:U59)</f>
        <v>0</v>
      </c>
      <c r="V56" s="65">
        <f>SUM(V57:V59)</f>
        <v>3492.51</v>
      </c>
      <c r="W56" s="65">
        <f>SUM(W57:W59)</f>
        <v>0</v>
      </c>
      <c r="X56" s="65">
        <f>SUM(X57:X59)</f>
        <v>0</v>
      </c>
      <c r="Y56" s="65">
        <f>SUM(Y57:Y59)</f>
        <v>0</v>
      </c>
      <c r="Z56" s="65">
        <f>SUM(Z57:Z59)</f>
        <v>0</v>
      </c>
      <c r="AA56" s="65">
        <f>SUM(AA57:AA59)</f>
        <v>0</v>
      </c>
      <c r="AB56" s="65">
        <f>SUM(AB57:AB59)</f>
        <v>0</v>
      </c>
      <c r="AC56" s="65">
        <f>SUM(AC57:AC59)</f>
        <v>0</v>
      </c>
      <c r="AD56" s="65">
        <f>SUM(AD57:AD59)</f>
        <v>0</v>
      </c>
      <c r="AE56" s="65">
        <f>SUM(AE57:AE59)</f>
        <v>0</v>
      </c>
      <c r="AF56" s="65">
        <f>SUM(AF57:AF59)</f>
        <v>0</v>
      </c>
      <c r="AG56" s="65">
        <f>SUM(AG57:AG59)</f>
        <v>0</v>
      </c>
      <c r="AH56" s="65">
        <f>SUM(AH57:AH59)</f>
        <v>0</v>
      </c>
      <c r="AI56" s="65">
        <f>SUM(AI57:AI59)</f>
        <v>0</v>
      </c>
      <c r="AJ56" s="65">
        <f>SUM(AJ57:AJ59)</f>
        <v>0</v>
      </c>
      <c r="AK56" s="65">
        <f>SUM(AK57:AK59)</f>
        <v>148386</v>
      </c>
      <c r="AL56" s="65">
        <f>SUM(AL57:AL59)</f>
        <v>0</v>
      </c>
      <c r="AM56" s="65">
        <f>SUM(AM57:AM59)</f>
        <v>0</v>
      </c>
      <c r="AN56" s="65">
        <f>SUM(AN57:AN59)</f>
        <v>0</v>
      </c>
      <c r="AO56" s="65">
        <f>SUM(AO57:AO59)</f>
        <v>0</v>
      </c>
      <c r="AP56" s="65">
        <f>SUM(AP57:AP59)</f>
        <v>730</v>
      </c>
      <c r="AQ56" s="65">
        <f>SUM(AQ57:AQ59)</f>
        <v>0</v>
      </c>
      <c r="AR56" s="65">
        <f>SUM(AR57:AR59)</f>
        <v>0</v>
      </c>
      <c r="AS56" s="65">
        <f>SUM(AS57:AS59)</f>
        <v>0</v>
      </c>
      <c r="AT56" s="65">
        <f>SUM(AT57:AT59)</f>
        <v>0</v>
      </c>
      <c r="AU56" s="65">
        <f>SUM(AU57:AU59)</f>
        <v>0</v>
      </c>
      <c r="AV56" s="65">
        <f>SUM(AV57:AV59)</f>
        <v>0</v>
      </c>
      <c r="AW56" s="65">
        <f>SUM(AW57:AW59)</f>
        <v>0</v>
      </c>
      <c r="AX56" s="65">
        <f>SUM(AX57:AX59)</f>
        <v>0</v>
      </c>
      <c r="AY56" s="65">
        <f>SUM(AY57:AY59)</f>
        <v>0</v>
      </c>
      <c r="AZ56" s="65">
        <f>SUM(AZ57:AZ59)</f>
        <v>0</v>
      </c>
      <c r="BA56" s="65">
        <f>SUM(BA57:BA59)</f>
        <v>0</v>
      </c>
      <c r="BB56" s="65">
        <f>SUM(BB57:BB59)</f>
        <v>0</v>
      </c>
      <c r="BC56" s="65">
        <f>SUM(BC57:BC59)</f>
        <v>0</v>
      </c>
      <c r="BD56" s="65">
        <f>SUM(BD57:BD59)</f>
        <v>0</v>
      </c>
      <c r="BE56" s="65">
        <f>SUM(BE57:BE59)</f>
        <v>0</v>
      </c>
      <c r="BF56" s="65">
        <f>SUM(BF57:BF59)</f>
        <v>0</v>
      </c>
      <c r="BG56" s="65">
        <f>SUM(BG57:BG59)</f>
        <v>0</v>
      </c>
      <c r="BH56" s="67"/>
      <c r="BI56" s="68"/>
      <c r="BJ56" s="68"/>
      <c r="BK56" s="68"/>
      <c r="BL56" s="68"/>
    </row>
    <row r="57" spans="1:64" ht="15.75" x14ac:dyDescent="0.25">
      <c r="A57" s="29" t="s">
        <v>130</v>
      </c>
      <c r="B57" s="29"/>
      <c r="C57" s="159" t="s">
        <v>128</v>
      </c>
      <c r="D57" s="168" t="s">
        <v>131</v>
      </c>
      <c r="E57" s="22">
        <v>730</v>
      </c>
      <c r="F57" s="22"/>
      <c r="G57" s="22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6"/>
      <c r="S57" s="26"/>
      <c r="T57" s="26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>
        <v>730</v>
      </c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7"/>
      <c r="BI57" s="28"/>
      <c r="BJ57" s="28"/>
      <c r="BK57" s="28"/>
      <c r="BL57" s="28"/>
    </row>
    <row r="58" spans="1:64" ht="15.75" x14ac:dyDescent="0.25">
      <c r="A58" s="29"/>
      <c r="B58" s="55" t="s">
        <v>132</v>
      </c>
      <c r="C58" s="161" t="s">
        <v>50</v>
      </c>
      <c r="D58" s="164" t="s">
        <v>133</v>
      </c>
      <c r="E58" s="22"/>
      <c r="F58" s="22">
        <v>9080.56</v>
      </c>
      <c r="G58" s="22">
        <v>5588.05</v>
      </c>
      <c r="H58" s="22"/>
      <c r="I58" s="24">
        <f t="shared" ref="I58:K59" si="41">U58+X58+AA58+AD58+AG58+AJ58+AM58+AP58+AS58+AV58+AY58+BB58</f>
        <v>0</v>
      </c>
      <c r="J58" s="24">
        <f t="shared" si="41"/>
        <v>3492.51</v>
      </c>
      <c r="K58" s="24">
        <f t="shared" si="41"/>
        <v>0</v>
      </c>
      <c r="L58" s="24">
        <f t="shared" ref="L58:N61" si="42">IF(BE58=0,SUM(U58+X58+AA58+AD58+AG58+AJ58+AM58+AP58+AS58+AV58+AY58+BB58),BE58)</f>
        <v>0</v>
      </c>
      <c r="M58" s="24">
        <f t="shared" si="42"/>
        <v>3492.51</v>
      </c>
      <c r="N58" s="24">
        <f t="shared" si="42"/>
        <v>0</v>
      </c>
      <c r="O58" s="24">
        <f t="shared" ref="O58:O59" si="43">E58-I58</f>
        <v>0</v>
      </c>
      <c r="P58" s="24">
        <f>F58-J58-G58</f>
        <v>0</v>
      </c>
      <c r="Q58" s="24">
        <f t="shared" ref="Q58:Q59" si="44">H58-K58</f>
        <v>0</v>
      </c>
      <c r="R58" s="26" t="e">
        <f t="shared" ref="R58:S62" si="45">I58/E58</f>
        <v>#DIV/0!</v>
      </c>
      <c r="S58" s="26">
        <f t="shared" si="45"/>
        <v>0.38461394451443526</v>
      </c>
      <c r="T58" s="26" t="e">
        <f t="shared" ref="T58:T66" si="46">K58/H58</f>
        <v>#DIV/0!</v>
      </c>
      <c r="U58" s="22"/>
      <c r="V58" s="22">
        <v>3492.51</v>
      </c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7"/>
      <c r="BI58" s="28"/>
      <c r="BJ58" s="28"/>
      <c r="BK58" s="28"/>
      <c r="BL58" s="28"/>
    </row>
    <row r="59" spans="1:64" ht="15.75" x14ac:dyDescent="0.25">
      <c r="A59" s="29"/>
      <c r="B59" s="29" t="s">
        <v>134</v>
      </c>
      <c r="C59" s="166" t="s">
        <v>135</v>
      </c>
      <c r="D59" s="167" t="s">
        <v>216</v>
      </c>
      <c r="E59" s="22"/>
      <c r="F59" s="37">
        <v>148386</v>
      </c>
      <c r="G59" s="37"/>
      <c r="H59" s="22"/>
      <c r="I59" s="24">
        <f t="shared" si="41"/>
        <v>0</v>
      </c>
      <c r="J59" s="24">
        <f t="shared" si="41"/>
        <v>148386</v>
      </c>
      <c r="K59" s="24">
        <f t="shared" si="41"/>
        <v>0</v>
      </c>
      <c r="L59" s="24">
        <f t="shared" si="42"/>
        <v>0</v>
      </c>
      <c r="M59" s="24">
        <f t="shared" si="42"/>
        <v>148386</v>
      </c>
      <c r="N59" s="24">
        <f t="shared" si="42"/>
        <v>0</v>
      </c>
      <c r="O59" s="24">
        <f t="shared" si="43"/>
        <v>0</v>
      </c>
      <c r="P59" s="24">
        <f t="shared" ref="P59" si="47">F59-J59</f>
        <v>0</v>
      </c>
      <c r="Q59" s="24">
        <f t="shared" si="44"/>
        <v>0</v>
      </c>
      <c r="R59" s="26" t="e">
        <f t="shared" si="45"/>
        <v>#DIV/0!</v>
      </c>
      <c r="S59" s="26">
        <f t="shared" si="45"/>
        <v>1</v>
      </c>
      <c r="T59" s="26" t="e">
        <f t="shared" si="46"/>
        <v>#DIV/0!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>
        <v>148386</v>
      </c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7"/>
      <c r="BI59" s="28"/>
      <c r="BJ59" s="28"/>
      <c r="BK59" s="28"/>
      <c r="BL59" s="28"/>
    </row>
    <row r="60" spans="1:64" ht="15.75" customHeight="1" x14ac:dyDescent="0.25">
      <c r="A60" s="86"/>
      <c r="B60" s="86"/>
      <c r="C60" s="102"/>
      <c r="D60" s="88" t="s">
        <v>136</v>
      </c>
      <c r="E60" s="89">
        <f>SUM(E61:E61)</f>
        <v>9600</v>
      </c>
      <c r="F60" s="89">
        <f>SUM(F61:F61)</f>
        <v>0</v>
      </c>
      <c r="G60" s="89"/>
      <c r="H60" s="89">
        <f>SUM(H61:H61)</f>
        <v>0</v>
      </c>
      <c r="I60" s="89">
        <f>SUM(I61:I61)</f>
        <v>0</v>
      </c>
      <c r="J60" s="89">
        <f>SUM(J61:J61)</f>
        <v>0</v>
      </c>
      <c r="K60" s="89">
        <f>SUM(K61:K61)</f>
        <v>0</v>
      </c>
      <c r="L60" s="89">
        <f t="shared" si="42"/>
        <v>0</v>
      </c>
      <c r="M60" s="89">
        <f t="shared" si="42"/>
        <v>0</v>
      </c>
      <c r="N60" s="89">
        <f t="shared" si="42"/>
        <v>0</v>
      </c>
      <c r="O60" s="89">
        <f>SUM(O61:O61)</f>
        <v>9600</v>
      </c>
      <c r="P60" s="89">
        <f>SUM(P61:P61)</f>
        <v>0</v>
      </c>
      <c r="Q60" s="89">
        <f>SUM(Q61:Q61)</f>
        <v>0</v>
      </c>
      <c r="R60" s="91">
        <f t="shared" si="45"/>
        <v>0</v>
      </c>
      <c r="S60" s="91" t="e">
        <f t="shared" si="45"/>
        <v>#DIV/0!</v>
      </c>
      <c r="T60" s="91" t="e">
        <f t="shared" si="46"/>
        <v>#DIV/0!</v>
      </c>
      <c r="U60" s="89">
        <f>SUM(U61:U61)</f>
        <v>0</v>
      </c>
      <c r="V60" s="89">
        <f>SUM(V61:V61)</f>
        <v>0</v>
      </c>
      <c r="W60" s="89">
        <f>SUM(W61:W61)</f>
        <v>0</v>
      </c>
      <c r="X60" s="89">
        <f>SUM(X61:X61)</f>
        <v>0</v>
      </c>
      <c r="Y60" s="89">
        <f>SUM(Y61:Y61)</f>
        <v>0</v>
      </c>
      <c r="Z60" s="89">
        <f>SUM(Z61:Z61)</f>
        <v>0</v>
      </c>
      <c r="AA60" s="89">
        <f>SUM(AA61:AA61)</f>
        <v>0</v>
      </c>
      <c r="AB60" s="89">
        <f>SUM(AB61:AB61)</f>
        <v>0</v>
      </c>
      <c r="AC60" s="89">
        <f>SUM(AC61:AC61)</f>
        <v>0</v>
      </c>
      <c r="AD60" s="89">
        <f>SUM(AD61:AD61)</f>
        <v>0</v>
      </c>
      <c r="AE60" s="89">
        <f>SUM(AE61:AE61)</f>
        <v>0</v>
      </c>
      <c r="AF60" s="89">
        <f>SUM(AF61:AF61)</f>
        <v>0</v>
      </c>
      <c r="AG60" s="89">
        <f>SUM(AG61:AG61)</f>
        <v>0</v>
      </c>
      <c r="AH60" s="89">
        <f>SUM(AH61:AH61)</f>
        <v>0</v>
      </c>
      <c r="AI60" s="89">
        <f>SUM(AI61:AI61)</f>
        <v>0</v>
      </c>
      <c r="AJ60" s="89">
        <f>SUM(AJ61:AJ61)</f>
        <v>0</v>
      </c>
      <c r="AK60" s="89">
        <f>SUM(AK61:AK61)</f>
        <v>0</v>
      </c>
      <c r="AL60" s="89">
        <f>SUM(AL61:AL61)</f>
        <v>0</v>
      </c>
      <c r="AM60" s="89">
        <f>SUM(AM61:AM61)</f>
        <v>0</v>
      </c>
      <c r="AN60" s="89">
        <f>SUM(AN61:AN61)</f>
        <v>0</v>
      </c>
      <c r="AO60" s="89">
        <f>SUM(AO61:AO61)</f>
        <v>0</v>
      </c>
      <c r="AP60" s="89">
        <f>SUM(AP61:AP61)</f>
        <v>0</v>
      </c>
      <c r="AQ60" s="89">
        <f>SUM(AQ61:AQ61)</f>
        <v>0</v>
      </c>
      <c r="AR60" s="89">
        <f>SUM(AR61:AR61)</f>
        <v>0</v>
      </c>
      <c r="AS60" s="89">
        <f>SUM(AS61:AS61)</f>
        <v>0</v>
      </c>
      <c r="AT60" s="89">
        <f>SUM(AT61:AT61)</f>
        <v>0</v>
      </c>
      <c r="AU60" s="89">
        <f>SUM(AU61:AU61)</f>
        <v>0</v>
      </c>
      <c r="AV60" s="89">
        <f>SUM(AV61:AV61)</f>
        <v>0</v>
      </c>
      <c r="AW60" s="89">
        <f>SUM(AW61:AW61)</f>
        <v>0</v>
      </c>
      <c r="AX60" s="89">
        <f>SUM(AX61:AX61)</f>
        <v>0</v>
      </c>
      <c r="AY60" s="89">
        <f>SUM(AY61:AY61)</f>
        <v>0</v>
      </c>
      <c r="AZ60" s="89">
        <f>SUM(AZ61:AZ61)</f>
        <v>0</v>
      </c>
      <c r="BA60" s="89">
        <f>SUM(BA61:BA61)</f>
        <v>0</v>
      </c>
      <c r="BB60" s="89">
        <f>SUM(BB61:BB61)</f>
        <v>0</v>
      </c>
      <c r="BC60" s="89">
        <f>SUM(BC61:BC61)</f>
        <v>0</v>
      </c>
      <c r="BD60" s="89">
        <f>SUM(BD61:BD61)</f>
        <v>0</v>
      </c>
      <c r="BE60" s="89">
        <f>SUM(BE61:BE61)</f>
        <v>0</v>
      </c>
      <c r="BF60" s="89">
        <f>SUM(BF61:BF61)</f>
        <v>0</v>
      </c>
      <c r="BG60" s="89">
        <f>SUM(BG61:BG61)</f>
        <v>0</v>
      </c>
      <c r="BH60" s="67"/>
      <c r="BI60" s="68"/>
      <c r="BJ60" s="68"/>
      <c r="BK60" s="68"/>
      <c r="BL60" s="68"/>
    </row>
    <row r="61" spans="1:64" ht="15.75" customHeight="1" x14ac:dyDescent="0.25">
      <c r="A61" s="29" t="s">
        <v>137</v>
      </c>
      <c r="B61" s="29"/>
      <c r="C61" s="159" t="s">
        <v>138</v>
      </c>
      <c r="D61" s="168" t="s">
        <v>139</v>
      </c>
      <c r="E61" s="70">
        <v>9600</v>
      </c>
      <c r="F61" s="22"/>
      <c r="G61" s="22"/>
      <c r="H61" s="23"/>
      <c r="I61" s="24">
        <f t="shared" ref="I61:K61" si="48">U61+X61+AA61+AD61+AG61+AJ61+AM61+AP61+AS61+AV61+AY61+BB61</f>
        <v>0</v>
      </c>
      <c r="J61" s="24">
        <f t="shared" si="48"/>
        <v>0</v>
      </c>
      <c r="K61" s="24">
        <f t="shared" si="48"/>
        <v>0</v>
      </c>
      <c r="L61" s="24">
        <f t="shared" si="42"/>
        <v>0</v>
      </c>
      <c r="M61" s="24">
        <f t="shared" si="42"/>
        <v>0</v>
      </c>
      <c r="N61" s="24">
        <f t="shared" si="42"/>
        <v>0</v>
      </c>
      <c r="O61" s="24">
        <f t="shared" ref="O61:P61" si="49">E61-I61</f>
        <v>9600</v>
      </c>
      <c r="P61" s="24">
        <f t="shared" si="49"/>
        <v>0</v>
      </c>
      <c r="Q61" s="24">
        <f t="shared" ref="Q61" si="50">H61-K61</f>
        <v>0</v>
      </c>
      <c r="R61" s="26">
        <f t="shared" si="45"/>
        <v>0</v>
      </c>
      <c r="S61" s="26" t="e">
        <f t="shared" si="45"/>
        <v>#DIV/0!</v>
      </c>
      <c r="T61" s="26" t="e">
        <f t="shared" si="46"/>
        <v>#DIV/0!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7"/>
      <c r="BI61" s="28"/>
      <c r="BJ61" s="28"/>
      <c r="BK61" s="28"/>
      <c r="BL61" s="28"/>
    </row>
    <row r="62" spans="1:64" ht="15.75" x14ac:dyDescent="0.25">
      <c r="A62" s="86"/>
      <c r="B62" s="86"/>
      <c r="C62" s="102"/>
      <c r="D62" s="88" t="s">
        <v>141</v>
      </c>
      <c r="E62" s="89">
        <f>E63+E67+E69+E73</f>
        <v>0</v>
      </c>
      <c r="F62" s="89">
        <f>F63+F67+F69+F73</f>
        <v>71868.47</v>
      </c>
      <c r="G62" s="89"/>
      <c r="H62" s="89">
        <f>H63+H67+H69+H73</f>
        <v>142873.54999999999</v>
      </c>
      <c r="I62" s="89">
        <f>I63+I67+I69+I73</f>
        <v>0</v>
      </c>
      <c r="J62" s="89">
        <f>J63+J67+J69+J73</f>
        <v>64800.67</v>
      </c>
      <c r="K62" s="89">
        <f>K63+K67+K69+K73</f>
        <v>39920</v>
      </c>
      <c r="L62" s="89">
        <f>L63+L67+L69+L73</f>
        <v>0</v>
      </c>
      <c r="M62" s="89">
        <f>M63+M67+M69+M73</f>
        <v>64800.67</v>
      </c>
      <c r="N62" s="89">
        <f>N63+N67+N69+N73</f>
        <v>39920</v>
      </c>
      <c r="O62" s="89">
        <f>O63+O67+O69+O73</f>
        <v>0</v>
      </c>
      <c r="P62" s="89">
        <f>P63+P67+P69+P73</f>
        <v>7067.8000000000029</v>
      </c>
      <c r="Q62" s="89">
        <f>Q63+Q67+Q69+Q73</f>
        <v>102953.54999999999</v>
      </c>
      <c r="R62" s="91" t="e">
        <f t="shared" si="45"/>
        <v>#DIV/0!</v>
      </c>
      <c r="S62" s="91">
        <f t="shared" si="45"/>
        <v>0.90165645657963778</v>
      </c>
      <c r="T62" s="91">
        <f t="shared" si="46"/>
        <v>0.27940791000153636</v>
      </c>
      <c r="U62" s="89">
        <f>U63+U67+U69+U73</f>
        <v>0</v>
      </c>
      <c r="V62" s="89">
        <f>V63+V67+V69+V73</f>
        <v>412.5</v>
      </c>
      <c r="W62" s="89">
        <f>W63+W67+W69+W73</f>
        <v>0</v>
      </c>
      <c r="X62" s="89">
        <f>X63+X67+X69+X73</f>
        <v>0</v>
      </c>
      <c r="Y62" s="89">
        <f>Y63+Y67+Y69+Y73</f>
        <v>15660.66</v>
      </c>
      <c r="Z62" s="89">
        <f>Z63+Z67+Z69+Z73</f>
        <v>0</v>
      </c>
      <c r="AA62" s="89">
        <f>AA63+AA67+AA69+AA73</f>
        <v>0</v>
      </c>
      <c r="AB62" s="89">
        <f>AB63+AB67+AB69+AB73</f>
        <v>36084.959999999999</v>
      </c>
      <c r="AC62" s="89">
        <f>AC63+AC67+AC69+AC73</f>
        <v>0</v>
      </c>
      <c r="AD62" s="89">
        <f>AD63+AD67+AD69+AD73</f>
        <v>0</v>
      </c>
      <c r="AE62" s="89">
        <f>AE63+AE67+AE69+AE73</f>
        <v>0</v>
      </c>
      <c r="AF62" s="89">
        <f>AF63+AF67+AF69+AF73</f>
        <v>11360</v>
      </c>
      <c r="AG62" s="89">
        <f>AG63+AG67+AG69+AG73</f>
        <v>0</v>
      </c>
      <c r="AH62" s="89">
        <f>AH63+AH67+AH69+AH73</f>
        <v>10250</v>
      </c>
      <c r="AI62" s="89">
        <f>AI63+AI67+AI69+AI73</f>
        <v>13760</v>
      </c>
      <c r="AJ62" s="89">
        <f>AJ63+AJ67+AJ69+AJ73</f>
        <v>0</v>
      </c>
      <c r="AK62" s="89">
        <f>AK63+AK67+AK69+AK73</f>
        <v>0</v>
      </c>
      <c r="AL62" s="89">
        <f>AL63+AL67+AL69+AL73</f>
        <v>14800</v>
      </c>
      <c r="AM62" s="89">
        <f>AM63+AM67+AM69+AM73</f>
        <v>0</v>
      </c>
      <c r="AN62" s="89">
        <f>AN63+AN67+AN69+AN73</f>
        <v>75</v>
      </c>
      <c r="AO62" s="89">
        <f>AO63+AO67+AO69+AO73</f>
        <v>0</v>
      </c>
      <c r="AP62" s="89">
        <f>AP63+AP67+AP69+AP73</f>
        <v>0</v>
      </c>
      <c r="AQ62" s="89">
        <f>AQ63+AQ67+AQ69+AQ73</f>
        <v>1267.55</v>
      </c>
      <c r="AR62" s="89">
        <f>AR63+AR67+AR69+AR73</f>
        <v>0</v>
      </c>
      <c r="AS62" s="89">
        <f>AS63+AS67+AS69+AS73</f>
        <v>0</v>
      </c>
      <c r="AT62" s="89">
        <f>AT63+AT67+AT69+AT73</f>
        <v>1050</v>
      </c>
      <c r="AU62" s="89">
        <f>AU63+AU67+AU69+AU73</f>
        <v>0</v>
      </c>
      <c r="AV62" s="89">
        <f>AV63+AV67+AV69+AV73</f>
        <v>0</v>
      </c>
      <c r="AW62" s="89">
        <f>AW63+AW67+AW69+AW73</f>
        <v>0</v>
      </c>
      <c r="AX62" s="89">
        <f>AX63+AX67+AX69+AX73</f>
        <v>0</v>
      </c>
      <c r="AY62" s="89">
        <f>AY63+AY67+AY69+AY73</f>
        <v>0</v>
      </c>
      <c r="AZ62" s="89">
        <f>AZ63+AZ67+AZ69+AZ73</f>
        <v>0</v>
      </c>
      <c r="BA62" s="89">
        <f>BA63+BA67+BA69+BA73</f>
        <v>0</v>
      </c>
      <c r="BB62" s="89">
        <f>BB63+BB67+BB69+BB73</f>
        <v>0</v>
      </c>
      <c r="BC62" s="89">
        <f>BC63+BC67+BC69+BC73</f>
        <v>0</v>
      </c>
      <c r="BD62" s="89">
        <f>BD63+BD67+BD69+BD73</f>
        <v>0</v>
      </c>
      <c r="BE62" s="89">
        <f>BE63+BE67+BE69+BE73</f>
        <v>0</v>
      </c>
      <c r="BF62" s="89">
        <f>BF63+BF67+BF69+BF73</f>
        <v>0</v>
      </c>
      <c r="BG62" s="89">
        <f>BG63+BG67+BG69+BG73</f>
        <v>0</v>
      </c>
      <c r="BH62" s="103"/>
      <c r="BI62" s="104"/>
      <c r="BJ62" s="104"/>
      <c r="BK62" s="104"/>
      <c r="BL62" s="104"/>
    </row>
    <row r="63" spans="1:64" ht="15.75" x14ac:dyDescent="0.25">
      <c r="A63" s="105"/>
      <c r="B63" s="105"/>
      <c r="C63" s="106"/>
      <c r="D63" s="107" t="s">
        <v>142</v>
      </c>
      <c r="E63" s="108">
        <f>SUM(E64:E66)</f>
        <v>0</v>
      </c>
      <c r="F63" s="108">
        <f>SUM(F64:F66)</f>
        <v>71868.47</v>
      </c>
      <c r="G63" s="108"/>
      <c r="H63" s="108">
        <f>SUM(H64:H66)</f>
        <v>0</v>
      </c>
      <c r="I63" s="108">
        <f>SUM(I64:I66)</f>
        <v>0</v>
      </c>
      <c r="J63" s="108">
        <f>SUM(J64:J66)</f>
        <v>64800.67</v>
      </c>
      <c r="K63" s="108">
        <f>SUM(K64:K66)</f>
        <v>0</v>
      </c>
      <c r="L63" s="109">
        <f t="shared" ref="L63:N64" si="51">IF(BE63=0,SUM(U63+X63+AA63+AD63+AG63+AJ63+AM63+AP63+AS63+AV63+AY63+BB63),BE63)</f>
        <v>0</v>
      </c>
      <c r="M63" s="109">
        <f t="shared" si="51"/>
        <v>64800.67</v>
      </c>
      <c r="N63" s="109">
        <f t="shared" si="51"/>
        <v>0</v>
      </c>
      <c r="O63" s="108">
        <f>SUM(O64:O66)</f>
        <v>0</v>
      </c>
      <c r="P63" s="108">
        <f>SUM(P64:P66)</f>
        <v>7067.8000000000029</v>
      </c>
      <c r="Q63" s="108">
        <f>SUM(Q64:Q66)</f>
        <v>0</v>
      </c>
      <c r="R63" s="90" t="e">
        <f t="shared" ref="R63:S66" si="52">I63/E63</f>
        <v>#DIV/0!</v>
      </c>
      <c r="S63" s="90">
        <f t="shared" si="52"/>
        <v>0.90165645657963778</v>
      </c>
      <c r="T63" s="90" t="e">
        <f t="shared" si="46"/>
        <v>#DIV/0!</v>
      </c>
      <c r="U63" s="108">
        <f>SUM(U64:U66)</f>
        <v>0</v>
      </c>
      <c r="V63" s="108">
        <f>SUM(V64:V66)</f>
        <v>412.5</v>
      </c>
      <c r="W63" s="108">
        <f>SUM(W64:W66)</f>
        <v>0</v>
      </c>
      <c r="X63" s="108">
        <f>SUM(X64:X66)</f>
        <v>0</v>
      </c>
      <c r="Y63" s="108">
        <f>SUM(Y64:Y66)</f>
        <v>15660.66</v>
      </c>
      <c r="Z63" s="108">
        <f>SUM(Z64:Z66)</f>
        <v>0</v>
      </c>
      <c r="AA63" s="108">
        <f>SUM(AA64:AA66)</f>
        <v>0</v>
      </c>
      <c r="AB63" s="108">
        <f>SUM(AB64:AB66)</f>
        <v>36084.959999999999</v>
      </c>
      <c r="AC63" s="108">
        <f>SUM(AC64:AC66)</f>
        <v>0</v>
      </c>
      <c r="AD63" s="108">
        <f>SUM(AD64:AD66)</f>
        <v>0</v>
      </c>
      <c r="AE63" s="108">
        <f>SUM(AE64:AE66)</f>
        <v>0</v>
      </c>
      <c r="AF63" s="108">
        <f>SUM(AF64:AF66)</f>
        <v>0</v>
      </c>
      <c r="AG63" s="108">
        <f>SUM(AG64:AG66)</f>
        <v>0</v>
      </c>
      <c r="AH63" s="108">
        <f>SUM(AH64:AH66)</f>
        <v>10250</v>
      </c>
      <c r="AI63" s="108">
        <f>SUM(AI64:AI66)</f>
        <v>0</v>
      </c>
      <c r="AJ63" s="108">
        <f>SUM(AJ64:AJ66)</f>
        <v>0</v>
      </c>
      <c r="AK63" s="108">
        <f>SUM(AK64:AK66)</f>
        <v>0</v>
      </c>
      <c r="AL63" s="108">
        <f>SUM(AL64:AL66)</f>
        <v>0</v>
      </c>
      <c r="AM63" s="108">
        <f>SUM(AM64:AM66)</f>
        <v>0</v>
      </c>
      <c r="AN63" s="108">
        <f>SUM(AN64:AN66)</f>
        <v>75</v>
      </c>
      <c r="AO63" s="108">
        <f>SUM(AO64:AO66)</f>
        <v>0</v>
      </c>
      <c r="AP63" s="108">
        <f>SUM(AP64:AP66)</f>
        <v>0</v>
      </c>
      <c r="AQ63" s="108">
        <f>SUM(AQ64:AQ66)</f>
        <v>1267.55</v>
      </c>
      <c r="AR63" s="108">
        <f>SUM(AR64:AR66)</f>
        <v>0</v>
      </c>
      <c r="AS63" s="108">
        <f>SUM(AS64:AS66)</f>
        <v>0</v>
      </c>
      <c r="AT63" s="108">
        <f>SUM(AT64:AT66)</f>
        <v>1050</v>
      </c>
      <c r="AU63" s="108">
        <f>SUM(AU64:AU66)</f>
        <v>0</v>
      </c>
      <c r="AV63" s="108">
        <f>SUM(AV64:AV66)</f>
        <v>0</v>
      </c>
      <c r="AW63" s="108">
        <f>SUM(AW64:AW66)</f>
        <v>0</v>
      </c>
      <c r="AX63" s="108">
        <f>SUM(AX64:AX66)</f>
        <v>0</v>
      </c>
      <c r="AY63" s="108">
        <f>SUM(AY64:AY66)</f>
        <v>0</v>
      </c>
      <c r="AZ63" s="108">
        <f>SUM(AZ64:AZ66)</f>
        <v>0</v>
      </c>
      <c r="BA63" s="108">
        <f>SUM(BA64:BA66)</f>
        <v>0</v>
      </c>
      <c r="BB63" s="108">
        <f>SUM(BB64:BB66)</f>
        <v>0</v>
      </c>
      <c r="BC63" s="108">
        <f>SUM(BC64:BC66)</f>
        <v>0</v>
      </c>
      <c r="BD63" s="108">
        <f>SUM(BD64:BD66)</f>
        <v>0</v>
      </c>
      <c r="BE63" s="108">
        <f>SUM(BE64:BE66)</f>
        <v>0</v>
      </c>
      <c r="BF63" s="108">
        <f>SUM(BF64:BF66)</f>
        <v>0</v>
      </c>
      <c r="BG63" s="108">
        <f>SUM(BG64:BG66)</f>
        <v>0</v>
      </c>
      <c r="BH63" s="110"/>
      <c r="BI63" s="111"/>
      <c r="BJ63" s="111"/>
      <c r="BK63" s="111"/>
      <c r="BL63" s="111"/>
    </row>
    <row r="64" spans="1:64" ht="18" customHeight="1" x14ac:dyDescent="0.25">
      <c r="A64" s="20"/>
      <c r="B64" s="20" t="s">
        <v>145</v>
      </c>
      <c r="C64" s="159" t="s">
        <v>128</v>
      </c>
      <c r="D64" s="168" t="s">
        <v>146</v>
      </c>
      <c r="E64" s="22"/>
      <c r="F64" s="58">
        <f>412.5</f>
        <v>412.5</v>
      </c>
      <c r="G64" s="22"/>
      <c r="H64" s="22"/>
      <c r="I64" s="24">
        <f t="shared" ref="I64:K66" si="53">U64+X64+AA64+AD64+AG64+AJ64+AM64+AP64+AS64+AV64+AY64+BB64</f>
        <v>0</v>
      </c>
      <c r="J64" s="24">
        <f t="shared" si="53"/>
        <v>412.5</v>
      </c>
      <c r="K64" s="24">
        <f t="shared" si="53"/>
        <v>0</v>
      </c>
      <c r="L64" s="24">
        <f t="shared" si="51"/>
        <v>0</v>
      </c>
      <c r="M64" s="24">
        <f t="shared" si="51"/>
        <v>412.5</v>
      </c>
      <c r="N64" s="24">
        <f t="shared" si="51"/>
        <v>0</v>
      </c>
      <c r="O64" s="24">
        <f t="shared" ref="O64:P66" si="54">E64-I64</f>
        <v>0</v>
      </c>
      <c r="P64" s="24">
        <f t="shared" si="54"/>
        <v>0</v>
      </c>
      <c r="Q64" s="24">
        <f t="shared" ref="Q64:Q66" si="55">H64-K64</f>
        <v>0</v>
      </c>
      <c r="R64" s="21" t="e">
        <f t="shared" si="52"/>
        <v>#DIV/0!</v>
      </c>
      <c r="S64" s="21">
        <f t="shared" si="52"/>
        <v>1</v>
      </c>
      <c r="T64" s="21" t="e">
        <f t="shared" si="46"/>
        <v>#DIV/0!</v>
      </c>
      <c r="U64" s="22"/>
      <c r="V64" s="22">
        <v>412.5</v>
      </c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47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7"/>
      <c r="BI64" s="28"/>
      <c r="BJ64" s="28"/>
      <c r="BK64" s="28"/>
      <c r="BL64" s="28"/>
    </row>
    <row r="65" spans="1:64" ht="15.75" x14ac:dyDescent="0.25">
      <c r="A65" s="20"/>
      <c r="B65" s="50" t="s">
        <v>147</v>
      </c>
      <c r="C65" s="159" t="s">
        <v>128</v>
      </c>
      <c r="D65" s="168" t="s">
        <v>219</v>
      </c>
      <c r="E65" s="22"/>
      <c r="F65" s="37">
        <f>2187.61+459+323.85+1130+388.49+200+1031.5+1042.55+225+119+4194+9525+1008+42+120+1827+59.9+14.5+2300+1130+156.35+150+62.16+287.8+166.25+2354+2205+1149+10969.4+2520+75+44.26+358.9+1990+799+259.45+1296+4626</f>
        <v>56795.97</v>
      </c>
      <c r="G65" s="37"/>
      <c r="H65" s="22"/>
      <c r="I65" s="24">
        <f t="shared" si="53"/>
        <v>0</v>
      </c>
      <c r="J65" s="24">
        <f t="shared" si="53"/>
        <v>49728.17</v>
      </c>
      <c r="K65" s="24">
        <f t="shared" si="53"/>
        <v>0</v>
      </c>
      <c r="L65" s="24">
        <f t="shared" ref="L65:N66" si="56">IF(BE65=0,SUM(U65+X65+AA65+AD65+AG65+AJ65+AM65+AP65+AS65+AV65+AY65+BB65),BE65)</f>
        <v>0</v>
      </c>
      <c r="M65" s="24">
        <f t="shared" si="56"/>
        <v>49728.17</v>
      </c>
      <c r="N65" s="24">
        <f t="shared" si="56"/>
        <v>0</v>
      </c>
      <c r="O65" s="24">
        <f t="shared" si="54"/>
        <v>0</v>
      </c>
      <c r="P65" s="24">
        <f t="shared" si="54"/>
        <v>7067.8000000000029</v>
      </c>
      <c r="Q65" s="24">
        <f t="shared" si="55"/>
        <v>0</v>
      </c>
      <c r="R65" s="21" t="e">
        <f>I65/E65</f>
        <v>#DIV/0!</v>
      </c>
      <c r="S65" s="21">
        <f t="shared" si="52"/>
        <v>0.87555807216603565</v>
      </c>
      <c r="T65" s="21" t="e">
        <f t="shared" si="46"/>
        <v>#DIV/0!</v>
      </c>
      <c r="U65" s="22"/>
      <c r="V65" s="22"/>
      <c r="W65" s="22"/>
      <c r="X65" s="22"/>
      <c r="Y65" s="22">
        <f>459+323.85+1130+1031.5+119+4194+2300+1130+156.35+62.16+287.8+2520+1947</f>
        <v>15660.66</v>
      </c>
      <c r="Z65" s="22"/>
      <c r="AA65" s="22"/>
      <c r="AB65" s="22">
        <f>2205+4626+9525+166.25+2354+150+1296+44.26+1058.45</f>
        <v>21424.959999999999</v>
      </c>
      <c r="AC65" s="22"/>
      <c r="AD65" s="22"/>
      <c r="AE65" s="22"/>
      <c r="AF65" s="22"/>
      <c r="AG65" s="22"/>
      <c r="AH65" s="22">
        <f>10250</f>
        <v>10250</v>
      </c>
      <c r="AI65" s="22"/>
      <c r="AJ65" s="22"/>
      <c r="AK65" s="22"/>
      <c r="AL65" s="22"/>
      <c r="AM65" s="22"/>
      <c r="AN65" s="22">
        <v>75</v>
      </c>
      <c r="AO65" s="22"/>
      <c r="AP65" s="47"/>
      <c r="AQ65" s="22">
        <v>1267.55</v>
      </c>
      <c r="AR65" s="22"/>
      <c r="AS65" s="22"/>
      <c r="AT65" s="22">
        <f>1050</f>
        <v>1050</v>
      </c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7"/>
      <c r="BI65" s="28"/>
      <c r="BJ65" s="28"/>
      <c r="BK65" s="28"/>
      <c r="BL65" s="28"/>
    </row>
    <row r="66" spans="1:64" ht="15.75" x14ac:dyDescent="0.25">
      <c r="A66" s="20"/>
      <c r="B66" s="55" t="s">
        <v>148</v>
      </c>
      <c r="C66" s="172" t="s">
        <v>149</v>
      </c>
      <c r="D66" s="173" t="s">
        <v>217</v>
      </c>
      <c r="E66" s="22"/>
      <c r="F66" s="22">
        <v>14660</v>
      </c>
      <c r="G66" s="22"/>
      <c r="H66" s="22"/>
      <c r="I66" s="24">
        <f t="shared" si="53"/>
        <v>0</v>
      </c>
      <c r="J66" s="24">
        <f t="shared" si="53"/>
        <v>14660</v>
      </c>
      <c r="K66" s="24">
        <f t="shared" si="53"/>
        <v>0</v>
      </c>
      <c r="L66" s="24">
        <f t="shared" si="56"/>
        <v>0</v>
      </c>
      <c r="M66" s="24">
        <f t="shared" si="56"/>
        <v>14660</v>
      </c>
      <c r="N66" s="24">
        <f t="shared" si="56"/>
        <v>0</v>
      </c>
      <c r="O66" s="24">
        <f t="shared" si="54"/>
        <v>0</v>
      </c>
      <c r="P66" s="24">
        <f t="shared" si="54"/>
        <v>0</v>
      </c>
      <c r="Q66" s="24">
        <f t="shared" si="55"/>
        <v>0</v>
      </c>
      <c r="R66" s="21" t="e">
        <f>I66/E66</f>
        <v>#DIV/0!</v>
      </c>
      <c r="S66" s="21">
        <f t="shared" si="52"/>
        <v>1</v>
      </c>
      <c r="T66" s="21" t="e">
        <f t="shared" si="46"/>
        <v>#DIV/0!</v>
      </c>
      <c r="U66" s="22"/>
      <c r="V66" s="22"/>
      <c r="W66" s="22"/>
      <c r="X66" s="22"/>
      <c r="Y66" s="22"/>
      <c r="Z66" s="22"/>
      <c r="AA66" s="22"/>
      <c r="AB66" s="22">
        <v>14660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47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7"/>
      <c r="BI66" s="28"/>
      <c r="BJ66" s="28"/>
      <c r="BK66" s="28"/>
      <c r="BL66" s="28"/>
    </row>
    <row r="67" spans="1:64" ht="15.75" x14ac:dyDescent="0.25">
      <c r="A67" s="105"/>
      <c r="B67" s="105"/>
      <c r="C67" s="106"/>
      <c r="D67" s="107" t="s">
        <v>150</v>
      </c>
      <c r="E67" s="108">
        <f>SUM(E68:E68)</f>
        <v>0</v>
      </c>
      <c r="F67" s="108">
        <f>SUM(F68:F68)</f>
        <v>0</v>
      </c>
      <c r="G67" s="108"/>
      <c r="H67" s="108">
        <f>SUM(H68:H68)</f>
        <v>142873.54999999999</v>
      </c>
      <c r="I67" s="108">
        <f>SUM(I68:I68)</f>
        <v>0</v>
      </c>
      <c r="J67" s="112">
        <f>SUM(J68:J68)</f>
        <v>0</v>
      </c>
      <c r="K67" s="112">
        <f>SUM(K68:K68)</f>
        <v>39920</v>
      </c>
      <c r="L67" s="112">
        <f t="shared" ref="L67:N90" si="57">IF(BE67=0,SUM(U67+X67+AA67+AD67+AG67+AJ67+AM67+AP67+AS67+AV67+AY67+BB67),BE67)</f>
        <v>0</v>
      </c>
      <c r="M67" s="112">
        <f t="shared" si="57"/>
        <v>0</v>
      </c>
      <c r="N67" s="112">
        <f t="shared" si="57"/>
        <v>39920</v>
      </c>
      <c r="O67" s="112">
        <f>SUM(O68:O68)</f>
        <v>0</v>
      </c>
      <c r="P67" s="112">
        <f>SUM(P68:P68)</f>
        <v>0</v>
      </c>
      <c r="Q67" s="112">
        <f>SUM(Q68:Q68)</f>
        <v>102953.54999999999</v>
      </c>
      <c r="R67" s="112" t="e">
        <f>SUM(R68:R68)</f>
        <v>#DIV/0!</v>
      </c>
      <c r="S67" s="112" t="e">
        <f>SUM(S68:S68)</f>
        <v>#DIV/0!</v>
      </c>
      <c r="T67" s="112">
        <f>SUM(T68:T68)</f>
        <v>0.27940791000153636</v>
      </c>
      <c r="U67" s="108">
        <f>SUM(U68:U68)</f>
        <v>0</v>
      </c>
      <c r="V67" s="108">
        <f>SUM(V68:V68)</f>
        <v>0</v>
      </c>
      <c r="W67" s="108">
        <f>SUM(W68:W68)</f>
        <v>0</v>
      </c>
      <c r="X67" s="108">
        <f>SUM(X68:X68)</f>
        <v>0</v>
      </c>
      <c r="Y67" s="108">
        <f>SUM(Y68:Y68)</f>
        <v>0</v>
      </c>
      <c r="Z67" s="108">
        <f>SUM(Z68:Z68)</f>
        <v>0</v>
      </c>
      <c r="AA67" s="108">
        <f>SUM(AA68:AA68)</f>
        <v>0</v>
      </c>
      <c r="AB67" s="108">
        <f>SUM(AB68:AB68)</f>
        <v>0</v>
      </c>
      <c r="AC67" s="108">
        <f>SUM(AC68:AC68)</f>
        <v>0</v>
      </c>
      <c r="AD67" s="108">
        <f>SUM(AD68:AD68)</f>
        <v>0</v>
      </c>
      <c r="AE67" s="108">
        <f>SUM(AE68:AE68)</f>
        <v>0</v>
      </c>
      <c r="AF67" s="108">
        <f>SUM(AF68:AF68)</f>
        <v>11360</v>
      </c>
      <c r="AG67" s="108">
        <f>SUM(AG68:AG68)</f>
        <v>0</v>
      </c>
      <c r="AH67" s="108">
        <f>SUM(AH68:AH68)</f>
        <v>0</v>
      </c>
      <c r="AI67" s="108">
        <f>SUM(AI68:AI68)</f>
        <v>13760</v>
      </c>
      <c r="AJ67" s="108">
        <f>SUM(AJ68:AJ68)</f>
        <v>0</v>
      </c>
      <c r="AK67" s="108">
        <f>SUM(AK68:AK68)</f>
        <v>0</v>
      </c>
      <c r="AL67" s="108">
        <f>SUM(AL68:AL68)</f>
        <v>14800</v>
      </c>
      <c r="AM67" s="108">
        <f>SUM(AM68:AM68)</f>
        <v>0</v>
      </c>
      <c r="AN67" s="108">
        <f>SUM(AN68:AN68)</f>
        <v>0</v>
      </c>
      <c r="AO67" s="108">
        <f>SUM(AO68:AO68)</f>
        <v>0</v>
      </c>
      <c r="AP67" s="108">
        <f>SUM(AP68:AP68)</f>
        <v>0</v>
      </c>
      <c r="AQ67" s="108">
        <f>SUM(AQ68:AQ68)</f>
        <v>0</v>
      </c>
      <c r="AR67" s="108">
        <f>SUM(AR68:AR68)</f>
        <v>0</v>
      </c>
      <c r="AS67" s="108">
        <f>SUM(AS68:AS68)</f>
        <v>0</v>
      </c>
      <c r="AT67" s="108">
        <f>SUM(AT68:AT68)</f>
        <v>0</v>
      </c>
      <c r="AU67" s="108">
        <f>SUM(AU68:AU68)</f>
        <v>0</v>
      </c>
      <c r="AV67" s="108">
        <f>SUM(AV68:AV68)</f>
        <v>0</v>
      </c>
      <c r="AW67" s="108">
        <f>SUM(AW68:AW68)</f>
        <v>0</v>
      </c>
      <c r="AX67" s="108">
        <f>SUM(AX68:AX68)</f>
        <v>0</v>
      </c>
      <c r="AY67" s="108">
        <f>SUM(AY68:AY68)</f>
        <v>0</v>
      </c>
      <c r="AZ67" s="108">
        <f>SUM(AZ68:AZ68)</f>
        <v>0</v>
      </c>
      <c r="BA67" s="108">
        <f>SUM(BA68:BA68)</f>
        <v>0</v>
      </c>
      <c r="BB67" s="108">
        <f>SUM(BB68:BB68)</f>
        <v>0</v>
      </c>
      <c r="BC67" s="108">
        <f>SUM(BC68:BC68)</f>
        <v>0</v>
      </c>
      <c r="BD67" s="108">
        <f>SUM(BD68:BD68)</f>
        <v>0</v>
      </c>
      <c r="BE67" s="108">
        <f>SUM(BE68:BE68)</f>
        <v>0</v>
      </c>
      <c r="BF67" s="108">
        <f>SUM(BF68:BF68)</f>
        <v>0</v>
      </c>
      <c r="BG67" s="108">
        <f>SUM(BG68:BG68)</f>
        <v>0</v>
      </c>
      <c r="BH67" s="110"/>
      <c r="BI67" s="111"/>
      <c r="BJ67" s="111"/>
      <c r="BK67" s="111"/>
      <c r="BL67" s="111"/>
    </row>
    <row r="68" spans="1:64" ht="31.5" x14ac:dyDescent="0.25">
      <c r="A68" s="20" t="s">
        <v>151</v>
      </c>
      <c r="B68" s="20"/>
      <c r="C68" s="159" t="s">
        <v>152</v>
      </c>
      <c r="D68" s="169" t="s">
        <v>153</v>
      </c>
      <c r="E68" s="22"/>
      <c r="F68" s="22"/>
      <c r="G68" s="22"/>
      <c r="H68" s="22">
        <f>11360+14640+13920+102953.55</f>
        <v>142873.54999999999</v>
      </c>
      <c r="I68" s="24">
        <f t="shared" ref="I68:K68" si="58">U68+X68+AA68+AD68+AG68+AJ68+AM68+AP68+AS68+AV68+AY68+BB68</f>
        <v>0</v>
      </c>
      <c r="J68" s="24">
        <f t="shared" si="58"/>
        <v>0</v>
      </c>
      <c r="K68" s="24">
        <f t="shared" si="58"/>
        <v>39920</v>
      </c>
      <c r="L68" s="24">
        <f t="shared" si="57"/>
        <v>0</v>
      </c>
      <c r="M68" s="24">
        <f t="shared" si="57"/>
        <v>0</v>
      </c>
      <c r="N68" s="24">
        <f t="shared" si="57"/>
        <v>39920</v>
      </c>
      <c r="O68" s="24">
        <f t="shared" ref="O68:P68" si="59">E68-I68</f>
        <v>0</v>
      </c>
      <c r="P68" s="24">
        <f t="shared" si="59"/>
        <v>0</v>
      </c>
      <c r="Q68" s="24">
        <f t="shared" ref="Q68" si="60">H68-K68</f>
        <v>102953.54999999999</v>
      </c>
      <c r="R68" s="26" t="e">
        <f t="shared" ref="R68:S68" si="61">I68/E68</f>
        <v>#DIV/0!</v>
      </c>
      <c r="S68" s="26" t="e">
        <f t="shared" si="61"/>
        <v>#DIV/0!</v>
      </c>
      <c r="T68" s="26">
        <f t="shared" ref="T68" si="62">K68/H68</f>
        <v>0.27940791000153636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>
        <f>11360</f>
        <v>11360</v>
      </c>
      <c r="AG68" s="22"/>
      <c r="AH68" s="22"/>
      <c r="AI68" s="22">
        <f>-11360+10480+14640</f>
        <v>13760</v>
      </c>
      <c r="AJ68" s="22"/>
      <c r="AK68" s="22"/>
      <c r="AL68" s="22">
        <v>14800</v>
      </c>
      <c r="AM68" s="22"/>
      <c r="AN68" s="22"/>
      <c r="AO68" s="22"/>
      <c r="AP68" s="47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7"/>
      <c r="BI68" s="28"/>
      <c r="BJ68" s="28"/>
      <c r="BK68" s="28"/>
      <c r="BL68" s="28"/>
    </row>
    <row r="69" spans="1:64" ht="15.75" hidden="1" customHeight="1" x14ac:dyDescent="0.25">
      <c r="A69" s="113"/>
      <c r="B69" s="113"/>
      <c r="C69" s="106"/>
      <c r="D69" s="114" t="s">
        <v>155</v>
      </c>
      <c r="E69" s="115">
        <f t="shared" ref="E69:K69" si="63">SUM(E70:E72)</f>
        <v>0</v>
      </c>
      <c r="F69" s="115">
        <f t="shared" si="63"/>
        <v>0</v>
      </c>
      <c r="G69" s="115"/>
      <c r="H69" s="115">
        <f t="shared" si="63"/>
        <v>0</v>
      </c>
      <c r="I69" s="115">
        <f t="shared" si="63"/>
        <v>0</v>
      </c>
      <c r="J69" s="116">
        <f t="shared" si="63"/>
        <v>0</v>
      </c>
      <c r="K69" s="116">
        <f t="shared" si="63"/>
        <v>0</v>
      </c>
      <c r="L69" s="116">
        <f t="shared" si="57"/>
        <v>0</v>
      </c>
      <c r="M69" s="116">
        <f t="shared" si="57"/>
        <v>0</v>
      </c>
      <c r="N69" s="116">
        <f t="shared" si="57"/>
        <v>0</v>
      </c>
      <c r="O69" s="115">
        <f t="shared" ref="O69:BG69" si="64">SUM(O70:O72)</f>
        <v>0</v>
      </c>
      <c r="P69" s="89">
        <f t="shared" si="64"/>
        <v>0</v>
      </c>
      <c r="Q69" s="89">
        <f t="shared" si="64"/>
        <v>0</v>
      </c>
      <c r="R69" s="89" t="e">
        <f t="shared" si="64"/>
        <v>#DIV/0!</v>
      </c>
      <c r="S69" s="89" t="e">
        <f t="shared" si="64"/>
        <v>#DIV/0!</v>
      </c>
      <c r="T69" s="89" t="e">
        <f t="shared" si="64"/>
        <v>#DIV/0!</v>
      </c>
      <c r="U69" s="115">
        <f t="shared" si="64"/>
        <v>0</v>
      </c>
      <c r="V69" s="115">
        <f t="shared" si="64"/>
        <v>0</v>
      </c>
      <c r="W69" s="115">
        <f t="shared" si="64"/>
        <v>0</v>
      </c>
      <c r="X69" s="115">
        <f t="shared" si="64"/>
        <v>0</v>
      </c>
      <c r="Y69" s="115">
        <f t="shared" si="64"/>
        <v>0</v>
      </c>
      <c r="Z69" s="115">
        <f t="shared" si="64"/>
        <v>0</v>
      </c>
      <c r="AA69" s="115">
        <f t="shared" si="64"/>
        <v>0</v>
      </c>
      <c r="AB69" s="115">
        <f t="shared" si="64"/>
        <v>0</v>
      </c>
      <c r="AC69" s="115">
        <f t="shared" si="64"/>
        <v>0</v>
      </c>
      <c r="AD69" s="115">
        <f t="shared" si="64"/>
        <v>0</v>
      </c>
      <c r="AE69" s="115">
        <f t="shared" si="64"/>
        <v>0</v>
      </c>
      <c r="AF69" s="115">
        <f t="shared" si="64"/>
        <v>0</v>
      </c>
      <c r="AG69" s="115">
        <f t="shared" si="64"/>
        <v>0</v>
      </c>
      <c r="AH69" s="115">
        <f t="shared" si="64"/>
        <v>0</v>
      </c>
      <c r="AI69" s="115">
        <f t="shared" si="64"/>
        <v>0</v>
      </c>
      <c r="AJ69" s="115">
        <f t="shared" si="64"/>
        <v>0</v>
      </c>
      <c r="AK69" s="115">
        <f t="shared" si="64"/>
        <v>0</v>
      </c>
      <c r="AL69" s="115">
        <f t="shared" si="64"/>
        <v>0</v>
      </c>
      <c r="AM69" s="115">
        <f t="shared" si="64"/>
        <v>0</v>
      </c>
      <c r="AN69" s="115">
        <f t="shared" si="64"/>
        <v>0</v>
      </c>
      <c r="AO69" s="115">
        <f t="shared" si="64"/>
        <v>0</v>
      </c>
      <c r="AP69" s="115">
        <f t="shared" si="64"/>
        <v>0</v>
      </c>
      <c r="AQ69" s="115">
        <f t="shared" si="64"/>
        <v>0</v>
      </c>
      <c r="AR69" s="115">
        <f t="shared" si="64"/>
        <v>0</v>
      </c>
      <c r="AS69" s="115">
        <f t="shared" si="64"/>
        <v>0</v>
      </c>
      <c r="AT69" s="115">
        <f t="shared" si="64"/>
        <v>0</v>
      </c>
      <c r="AU69" s="115">
        <f t="shared" si="64"/>
        <v>0</v>
      </c>
      <c r="AV69" s="115">
        <f t="shared" si="64"/>
        <v>0</v>
      </c>
      <c r="AW69" s="115">
        <f t="shared" si="64"/>
        <v>0</v>
      </c>
      <c r="AX69" s="115">
        <f t="shared" si="64"/>
        <v>0</v>
      </c>
      <c r="AY69" s="115">
        <f t="shared" si="64"/>
        <v>0</v>
      </c>
      <c r="AZ69" s="115">
        <f t="shared" si="64"/>
        <v>0</v>
      </c>
      <c r="BA69" s="115">
        <f t="shared" si="64"/>
        <v>0</v>
      </c>
      <c r="BB69" s="115">
        <f t="shared" si="64"/>
        <v>0</v>
      </c>
      <c r="BC69" s="115">
        <f t="shared" si="64"/>
        <v>0</v>
      </c>
      <c r="BD69" s="115">
        <f t="shared" si="64"/>
        <v>0</v>
      </c>
      <c r="BE69" s="115">
        <f t="shared" si="64"/>
        <v>0</v>
      </c>
      <c r="BF69" s="115">
        <f t="shared" si="64"/>
        <v>0</v>
      </c>
      <c r="BG69" s="115">
        <f t="shared" si="64"/>
        <v>0</v>
      </c>
      <c r="BH69" s="110"/>
      <c r="BI69" s="111"/>
      <c r="BJ69" s="111"/>
      <c r="BK69" s="111"/>
      <c r="BL69" s="111"/>
    </row>
    <row r="70" spans="1:64" ht="15.75" hidden="1" customHeight="1" x14ac:dyDescent="0.25">
      <c r="A70" s="29"/>
      <c r="B70" s="29"/>
      <c r="C70" s="161" t="s">
        <v>156</v>
      </c>
      <c r="D70" s="160" t="s">
        <v>157</v>
      </c>
      <c r="E70" s="22"/>
      <c r="F70" s="22"/>
      <c r="G70" s="22"/>
      <c r="H70" s="22"/>
      <c r="I70" s="24">
        <f t="shared" ref="I70:K72" si="65">U70+X70+AA70+AD70+AG70+AJ70+AM70+AP70+AS70+AV70+AY70+BB70</f>
        <v>0</v>
      </c>
      <c r="J70" s="24">
        <f t="shared" si="65"/>
        <v>0</v>
      </c>
      <c r="K70" s="24">
        <f t="shared" si="65"/>
        <v>0</v>
      </c>
      <c r="L70" s="24">
        <f t="shared" si="57"/>
        <v>0</v>
      </c>
      <c r="M70" s="24">
        <f t="shared" si="57"/>
        <v>0</v>
      </c>
      <c r="N70" s="24">
        <f t="shared" si="57"/>
        <v>0</v>
      </c>
      <c r="O70" s="24">
        <f t="shared" ref="O70:P72" si="66">E70-I70</f>
        <v>0</v>
      </c>
      <c r="P70" s="24">
        <f t="shared" si="66"/>
        <v>0</v>
      </c>
      <c r="Q70" s="24">
        <f t="shared" ref="Q70:Q72" si="67">H70-K70</f>
        <v>0</v>
      </c>
      <c r="R70" s="26" t="e">
        <f t="shared" ref="R70:S72" si="68">I70/E70</f>
        <v>#DIV/0!</v>
      </c>
      <c r="S70" s="26" t="e">
        <f t="shared" si="68"/>
        <v>#DIV/0!</v>
      </c>
      <c r="T70" s="26" t="e">
        <f t="shared" ref="T70:T72" si="69">K70/H70</f>
        <v>#DIV/0!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7"/>
      <c r="BI70" s="28"/>
      <c r="BJ70" s="28"/>
      <c r="BK70" s="28"/>
      <c r="BL70" s="28"/>
    </row>
    <row r="71" spans="1:64" ht="15.75" hidden="1" customHeight="1" x14ac:dyDescent="0.25">
      <c r="A71" s="29"/>
      <c r="B71" s="29"/>
      <c r="C71" s="161" t="s">
        <v>156</v>
      </c>
      <c r="D71" s="162" t="s">
        <v>158</v>
      </c>
      <c r="E71" s="100"/>
      <c r="F71" s="22"/>
      <c r="G71" s="22"/>
      <c r="H71" s="100"/>
      <c r="I71" s="24">
        <f t="shared" si="65"/>
        <v>0</v>
      </c>
      <c r="J71" s="24">
        <f t="shared" si="65"/>
        <v>0</v>
      </c>
      <c r="K71" s="24">
        <f t="shared" si="65"/>
        <v>0</v>
      </c>
      <c r="L71" s="24">
        <f t="shared" si="57"/>
        <v>0</v>
      </c>
      <c r="M71" s="24">
        <f t="shared" si="57"/>
        <v>0</v>
      </c>
      <c r="N71" s="24">
        <f t="shared" si="57"/>
        <v>0</v>
      </c>
      <c r="O71" s="24">
        <f t="shared" si="66"/>
        <v>0</v>
      </c>
      <c r="P71" s="24">
        <f t="shared" si="66"/>
        <v>0</v>
      </c>
      <c r="Q71" s="24">
        <f t="shared" si="67"/>
        <v>0</v>
      </c>
      <c r="R71" s="26" t="e">
        <f t="shared" si="68"/>
        <v>#DIV/0!</v>
      </c>
      <c r="S71" s="26" t="e">
        <f t="shared" si="68"/>
        <v>#DIV/0!</v>
      </c>
      <c r="T71" s="26" t="e">
        <f t="shared" si="69"/>
        <v>#DIV/0!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7"/>
      <c r="BI71" s="28"/>
      <c r="BJ71" s="28"/>
      <c r="BK71" s="28"/>
      <c r="BL71" s="28"/>
    </row>
    <row r="72" spans="1:64" ht="15.75" hidden="1" customHeight="1" x14ac:dyDescent="0.25">
      <c r="A72" s="29"/>
      <c r="B72" s="29"/>
      <c r="C72" s="159"/>
      <c r="D72" s="162" t="s">
        <v>158</v>
      </c>
      <c r="E72" s="22"/>
      <c r="F72" s="22"/>
      <c r="G72" s="22"/>
      <c r="H72" s="117"/>
      <c r="I72" s="24">
        <f t="shared" si="65"/>
        <v>0</v>
      </c>
      <c r="J72" s="24">
        <f t="shared" si="65"/>
        <v>0</v>
      </c>
      <c r="K72" s="24">
        <f t="shared" si="65"/>
        <v>0</v>
      </c>
      <c r="L72" s="24">
        <f t="shared" si="57"/>
        <v>0</v>
      </c>
      <c r="M72" s="24">
        <f t="shared" si="57"/>
        <v>0</v>
      </c>
      <c r="N72" s="24">
        <f t="shared" si="57"/>
        <v>0</v>
      </c>
      <c r="O72" s="24">
        <f t="shared" si="66"/>
        <v>0</v>
      </c>
      <c r="P72" s="24">
        <f t="shared" si="66"/>
        <v>0</v>
      </c>
      <c r="Q72" s="24">
        <f t="shared" si="67"/>
        <v>0</v>
      </c>
      <c r="R72" s="26" t="e">
        <f t="shared" si="68"/>
        <v>#DIV/0!</v>
      </c>
      <c r="S72" s="26" t="e">
        <f t="shared" si="68"/>
        <v>#DIV/0!</v>
      </c>
      <c r="T72" s="26" t="e">
        <f t="shared" si="69"/>
        <v>#DIV/0!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7"/>
      <c r="BI72" s="28"/>
      <c r="BJ72" s="28"/>
      <c r="BK72" s="28"/>
      <c r="BL72" s="28"/>
    </row>
    <row r="73" spans="1:64" ht="15.75" hidden="1" customHeight="1" x14ac:dyDescent="0.25">
      <c r="A73" s="113"/>
      <c r="B73" s="113"/>
      <c r="C73" s="106"/>
      <c r="D73" s="114" t="s">
        <v>159</v>
      </c>
      <c r="E73" s="115">
        <f t="shared" ref="E73:K73" si="70">SUM(E74:E76)</f>
        <v>0</v>
      </c>
      <c r="F73" s="115">
        <f t="shared" si="70"/>
        <v>0</v>
      </c>
      <c r="G73" s="115"/>
      <c r="H73" s="115">
        <f t="shared" si="70"/>
        <v>0</v>
      </c>
      <c r="I73" s="115">
        <f t="shared" si="70"/>
        <v>0</v>
      </c>
      <c r="J73" s="116">
        <f t="shared" si="70"/>
        <v>0</v>
      </c>
      <c r="K73" s="116">
        <f t="shared" si="70"/>
        <v>0</v>
      </c>
      <c r="L73" s="116">
        <f t="shared" si="57"/>
        <v>0</v>
      </c>
      <c r="M73" s="116">
        <f t="shared" si="57"/>
        <v>0</v>
      </c>
      <c r="N73" s="116">
        <f t="shared" si="57"/>
        <v>0</v>
      </c>
      <c r="O73" s="115">
        <f t="shared" ref="O73:BG73" si="71">SUM(O74:O76)</f>
        <v>0</v>
      </c>
      <c r="P73" s="89">
        <f t="shared" si="71"/>
        <v>0</v>
      </c>
      <c r="Q73" s="89">
        <f t="shared" si="71"/>
        <v>0</v>
      </c>
      <c r="R73" s="89" t="e">
        <f t="shared" si="71"/>
        <v>#DIV/0!</v>
      </c>
      <c r="S73" s="89" t="e">
        <f t="shared" si="71"/>
        <v>#DIV/0!</v>
      </c>
      <c r="T73" s="89" t="e">
        <f t="shared" si="71"/>
        <v>#DIV/0!</v>
      </c>
      <c r="U73" s="115">
        <f t="shared" si="71"/>
        <v>0</v>
      </c>
      <c r="V73" s="115">
        <f t="shared" si="71"/>
        <v>0</v>
      </c>
      <c r="W73" s="115">
        <f t="shared" si="71"/>
        <v>0</v>
      </c>
      <c r="X73" s="115">
        <f t="shared" si="71"/>
        <v>0</v>
      </c>
      <c r="Y73" s="115">
        <f t="shared" si="71"/>
        <v>0</v>
      </c>
      <c r="Z73" s="115">
        <f t="shared" si="71"/>
        <v>0</v>
      </c>
      <c r="AA73" s="115">
        <f t="shared" si="71"/>
        <v>0</v>
      </c>
      <c r="AB73" s="115">
        <f t="shared" si="71"/>
        <v>0</v>
      </c>
      <c r="AC73" s="115">
        <f t="shared" si="71"/>
        <v>0</v>
      </c>
      <c r="AD73" s="115">
        <f t="shared" si="71"/>
        <v>0</v>
      </c>
      <c r="AE73" s="115">
        <f t="shared" si="71"/>
        <v>0</v>
      </c>
      <c r="AF73" s="115">
        <f t="shared" si="71"/>
        <v>0</v>
      </c>
      <c r="AG73" s="115">
        <f t="shared" si="71"/>
        <v>0</v>
      </c>
      <c r="AH73" s="115">
        <f t="shared" si="71"/>
        <v>0</v>
      </c>
      <c r="AI73" s="115">
        <f t="shared" si="71"/>
        <v>0</v>
      </c>
      <c r="AJ73" s="115">
        <f t="shared" si="71"/>
        <v>0</v>
      </c>
      <c r="AK73" s="115">
        <f t="shared" si="71"/>
        <v>0</v>
      </c>
      <c r="AL73" s="115">
        <f t="shared" si="71"/>
        <v>0</v>
      </c>
      <c r="AM73" s="115">
        <f t="shared" si="71"/>
        <v>0</v>
      </c>
      <c r="AN73" s="115">
        <f t="shared" si="71"/>
        <v>0</v>
      </c>
      <c r="AO73" s="115">
        <f t="shared" si="71"/>
        <v>0</v>
      </c>
      <c r="AP73" s="115">
        <f t="shared" si="71"/>
        <v>0</v>
      </c>
      <c r="AQ73" s="115">
        <f t="shared" si="71"/>
        <v>0</v>
      </c>
      <c r="AR73" s="115">
        <f t="shared" si="71"/>
        <v>0</v>
      </c>
      <c r="AS73" s="115">
        <f t="shared" si="71"/>
        <v>0</v>
      </c>
      <c r="AT73" s="115">
        <f t="shared" si="71"/>
        <v>0</v>
      </c>
      <c r="AU73" s="115">
        <f t="shared" si="71"/>
        <v>0</v>
      </c>
      <c r="AV73" s="115">
        <f t="shared" si="71"/>
        <v>0</v>
      </c>
      <c r="AW73" s="115">
        <f t="shared" si="71"/>
        <v>0</v>
      </c>
      <c r="AX73" s="115">
        <f t="shared" si="71"/>
        <v>0</v>
      </c>
      <c r="AY73" s="115">
        <f t="shared" si="71"/>
        <v>0</v>
      </c>
      <c r="AZ73" s="115">
        <f t="shared" si="71"/>
        <v>0</v>
      </c>
      <c r="BA73" s="115">
        <f t="shared" si="71"/>
        <v>0</v>
      </c>
      <c r="BB73" s="115">
        <f t="shared" si="71"/>
        <v>0</v>
      </c>
      <c r="BC73" s="115">
        <f t="shared" si="71"/>
        <v>0</v>
      </c>
      <c r="BD73" s="115">
        <f t="shared" si="71"/>
        <v>0</v>
      </c>
      <c r="BE73" s="115">
        <f t="shared" si="71"/>
        <v>0</v>
      </c>
      <c r="BF73" s="115">
        <f t="shared" si="71"/>
        <v>0</v>
      </c>
      <c r="BG73" s="115">
        <f t="shared" si="71"/>
        <v>0</v>
      </c>
      <c r="BH73" s="110"/>
      <c r="BI73" s="111"/>
      <c r="BJ73" s="111"/>
      <c r="BK73" s="111"/>
      <c r="BL73" s="111"/>
    </row>
    <row r="74" spans="1:64" ht="15.75" hidden="1" customHeight="1" x14ac:dyDescent="0.25">
      <c r="A74" s="29"/>
      <c r="B74" s="29"/>
      <c r="C74" s="159" t="s">
        <v>156</v>
      </c>
      <c r="D74" s="170" t="s">
        <v>160</v>
      </c>
      <c r="E74" s="22"/>
      <c r="F74" s="22"/>
      <c r="G74" s="22"/>
      <c r="H74" s="22"/>
      <c r="I74" s="24">
        <f t="shared" ref="I74:K76" si="72">U74+X74+AA74+AD74+AG74+AJ74+AM74+AP74+AS74+AV74+AY74+BB74</f>
        <v>0</v>
      </c>
      <c r="J74" s="24">
        <f t="shared" si="72"/>
        <v>0</v>
      </c>
      <c r="K74" s="24">
        <f t="shared" si="72"/>
        <v>0</v>
      </c>
      <c r="L74" s="24">
        <f t="shared" si="57"/>
        <v>0</v>
      </c>
      <c r="M74" s="24">
        <f t="shared" si="57"/>
        <v>0</v>
      </c>
      <c r="N74" s="24">
        <f t="shared" si="57"/>
        <v>0</v>
      </c>
      <c r="O74" s="24">
        <f t="shared" ref="O74:P76" si="73">E74-I74</f>
        <v>0</v>
      </c>
      <c r="P74" s="24">
        <f t="shared" si="73"/>
        <v>0</v>
      </c>
      <c r="Q74" s="24">
        <f t="shared" ref="Q74:Q76" si="74">H74-K74</f>
        <v>0</v>
      </c>
      <c r="R74" s="26" t="e">
        <f t="shared" ref="R74:S90" si="75">I74/E74</f>
        <v>#DIV/0!</v>
      </c>
      <c r="S74" s="26" t="e">
        <f t="shared" si="75"/>
        <v>#DIV/0!</v>
      </c>
      <c r="T74" s="26" t="e">
        <f t="shared" ref="T74:T94" si="76">K74/H74</f>
        <v>#DIV/0!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7"/>
      <c r="BI74" s="28"/>
      <c r="BJ74" s="28"/>
      <c r="BK74" s="28"/>
      <c r="BL74" s="28"/>
    </row>
    <row r="75" spans="1:64" ht="15.75" hidden="1" customHeight="1" x14ac:dyDescent="0.25">
      <c r="A75" s="29"/>
      <c r="B75" s="29"/>
      <c r="C75" s="159" t="s">
        <v>154</v>
      </c>
      <c r="D75" s="168" t="s">
        <v>161</v>
      </c>
      <c r="E75" s="100"/>
      <c r="F75" s="22"/>
      <c r="G75" s="22"/>
      <c r="H75" s="100"/>
      <c r="I75" s="24">
        <f t="shared" si="72"/>
        <v>0</v>
      </c>
      <c r="J75" s="24">
        <f t="shared" si="72"/>
        <v>0</v>
      </c>
      <c r="K75" s="24">
        <f t="shared" si="72"/>
        <v>0</v>
      </c>
      <c r="L75" s="24">
        <f t="shared" si="57"/>
        <v>0</v>
      </c>
      <c r="M75" s="24">
        <f t="shared" si="57"/>
        <v>0</v>
      </c>
      <c r="N75" s="24">
        <f t="shared" si="57"/>
        <v>0</v>
      </c>
      <c r="O75" s="24">
        <f t="shared" si="73"/>
        <v>0</v>
      </c>
      <c r="P75" s="24">
        <f t="shared" si="73"/>
        <v>0</v>
      </c>
      <c r="Q75" s="24">
        <f t="shared" si="74"/>
        <v>0</v>
      </c>
      <c r="R75" s="26" t="e">
        <f t="shared" si="75"/>
        <v>#DIV/0!</v>
      </c>
      <c r="S75" s="26" t="e">
        <f t="shared" si="75"/>
        <v>#DIV/0!</v>
      </c>
      <c r="T75" s="26" t="e">
        <f t="shared" si="76"/>
        <v>#DIV/0!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7"/>
      <c r="BI75" s="28"/>
      <c r="BJ75" s="28"/>
      <c r="BK75" s="28"/>
      <c r="BL75" s="28"/>
    </row>
    <row r="76" spans="1:64" ht="15.75" hidden="1" customHeight="1" x14ac:dyDescent="0.25">
      <c r="A76" s="29"/>
      <c r="B76" s="29"/>
      <c r="C76" s="159" t="s">
        <v>154</v>
      </c>
      <c r="D76" s="168" t="s">
        <v>162</v>
      </c>
      <c r="E76" s="22"/>
      <c r="F76" s="22"/>
      <c r="G76" s="22"/>
      <c r="H76" s="117"/>
      <c r="I76" s="24">
        <f t="shared" si="72"/>
        <v>0</v>
      </c>
      <c r="J76" s="24">
        <f t="shared" si="72"/>
        <v>0</v>
      </c>
      <c r="K76" s="24">
        <f t="shared" si="72"/>
        <v>0</v>
      </c>
      <c r="L76" s="24">
        <f t="shared" si="57"/>
        <v>0</v>
      </c>
      <c r="M76" s="24">
        <f t="shared" si="57"/>
        <v>0</v>
      </c>
      <c r="N76" s="24">
        <f t="shared" si="57"/>
        <v>0</v>
      </c>
      <c r="O76" s="24">
        <f t="shared" si="73"/>
        <v>0</v>
      </c>
      <c r="P76" s="24">
        <f t="shared" si="73"/>
        <v>0</v>
      </c>
      <c r="Q76" s="24">
        <f t="shared" si="74"/>
        <v>0</v>
      </c>
      <c r="R76" s="26" t="e">
        <f t="shared" si="75"/>
        <v>#DIV/0!</v>
      </c>
      <c r="S76" s="26" t="e">
        <f t="shared" si="75"/>
        <v>#DIV/0!</v>
      </c>
      <c r="T76" s="26" t="e">
        <f t="shared" si="76"/>
        <v>#DIV/0!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7"/>
      <c r="BI76" s="28"/>
      <c r="BJ76" s="28"/>
      <c r="BK76" s="28"/>
      <c r="BL76" s="28"/>
    </row>
    <row r="77" spans="1:64" ht="15.75" hidden="1" x14ac:dyDescent="0.25">
      <c r="A77" s="86"/>
      <c r="B77" s="86"/>
      <c r="C77" s="102"/>
      <c r="D77" s="88" t="s">
        <v>163</v>
      </c>
      <c r="E77" s="89">
        <f t="shared" ref="E77:K77" si="77">SUM(E78:E80)</f>
        <v>0</v>
      </c>
      <c r="F77" s="89">
        <f t="shared" si="77"/>
        <v>0</v>
      </c>
      <c r="G77" s="89"/>
      <c r="H77" s="89">
        <f t="shared" si="77"/>
        <v>0</v>
      </c>
      <c r="I77" s="89">
        <f t="shared" si="77"/>
        <v>0</v>
      </c>
      <c r="J77" s="89">
        <f t="shared" si="77"/>
        <v>0</v>
      </c>
      <c r="K77" s="89">
        <f t="shared" si="77"/>
        <v>0</v>
      </c>
      <c r="L77" s="118">
        <f t="shared" si="57"/>
        <v>0</v>
      </c>
      <c r="M77" s="118">
        <f t="shared" si="57"/>
        <v>0</v>
      </c>
      <c r="N77" s="118">
        <f t="shared" si="57"/>
        <v>0</v>
      </c>
      <c r="O77" s="89">
        <f>SUM(O78:O80)</f>
        <v>0</v>
      </c>
      <c r="P77" s="89">
        <f>SUM(P78:P80)</f>
        <v>0</v>
      </c>
      <c r="Q77" s="89">
        <f>SUM(Q78:Q80)</f>
        <v>0</v>
      </c>
      <c r="R77" s="91" t="e">
        <f t="shared" si="75"/>
        <v>#DIV/0!</v>
      </c>
      <c r="S77" s="91" t="e">
        <f t="shared" si="75"/>
        <v>#DIV/0!</v>
      </c>
      <c r="T77" s="91" t="e">
        <f t="shared" si="76"/>
        <v>#DIV/0!</v>
      </c>
      <c r="U77" s="89">
        <f t="shared" ref="U77:BG77" si="78">SUM(U78:U80)</f>
        <v>0</v>
      </c>
      <c r="V77" s="89">
        <f t="shared" si="78"/>
        <v>0</v>
      </c>
      <c r="W77" s="89">
        <f t="shared" si="78"/>
        <v>0</v>
      </c>
      <c r="X77" s="89">
        <f t="shared" si="78"/>
        <v>0</v>
      </c>
      <c r="Y77" s="89">
        <f t="shared" si="78"/>
        <v>0</v>
      </c>
      <c r="Z77" s="89">
        <f t="shared" si="78"/>
        <v>0</v>
      </c>
      <c r="AA77" s="89">
        <f t="shared" si="78"/>
        <v>0</v>
      </c>
      <c r="AB77" s="89">
        <f t="shared" si="78"/>
        <v>0</v>
      </c>
      <c r="AC77" s="89">
        <f t="shared" si="78"/>
        <v>0</v>
      </c>
      <c r="AD77" s="89">
        <f t="shared" si="78"/>
        <v>0</v>
      </c>
      <c r="AE77" s="89">
        <f t="shared" si="78"/>
        <v>0</v>
      </c>
      <c r="AF77" s="89">
        <f t="shared" si="78"/>
        <v>0</v>
      </c>
      <c r="AG77" s="89">
        <f t="shared" si="78"/>
        <v>0</v>
      </c>
      <c r="AH77" s="89">
        <f t="shared" si="78"/>
        <v>0</v>
      </c>
      <c r="AI77" s="89">
        <f t="shared" si="78"/>
        <v>0</v>
      </c>
      <c r="AJ77" s="89">
        <f t="shared" si="78"/>
        <v>0</v>
      </c>
      <c r="AK77" s="89">
        <f t="shared" si="78"/>
        <v>0</v>
      </c>
      <c r="AL77" s="89">
        <f t="shared" si="78"/>
        <v>0</v>
      </c>
      <c r="AM77" s="89">
        <f t="shared" si="78"/>
        <v>0</v>
      </c>
      <c r="AN77" s="89">
        <f t="shared" si="78"/>
        <v>0</v>
      </c>
      <c r="AO77" s="89">
        <f t="shared" si="78"/>
        <v>0</v>
      </c>
      <c r="AP77" s="89">
        <f t="shared" si="78"/>
        <v>0</v>
      </c>
      <c r="AQ77" s="89">
        <f t="shared" si="78"/>
        <v>0</v>
      </c>
      <c r="AR77" s="89">
        <f t="shared" si="78"/>
        <v>0</v>
      </c>
      <c r="AS77" s="89">
        <f t="shared" si="78"/>
        <v>0</v>
      </c>
      <c r="AT77" s="89">
        <f t="shared" si="78"/>
        <v>0</v>
      </c>
      <c r="AU77" s="89">
        <f t="shared" si="78"/>
        <v>0</v>
      </c>
      <c r="AV77" s="89">
        <f t="shared" si="78"/>
        <v>0</v>
      </c>
      <c r="AW77" s="89">
        <f t="shared" si="78"/>
        <v>0</v>
      </c>
      <c r="AX77" s="89">
        <f t="shared" si="78"/>
        <v>0</v>
      </c>
      <c r="AY77" s="89">
        <f t="shared" si="78"/>
        <v>0</v>
      </c>
      <c r="AZ77" s="89">
        <f t="shared" si="78"/>
        <v>0</v>
      </c>
      <c r="BA77" s="89">
        <f t="shared" si="78"/>
        <v>0</v>
      </c>
      <c r="BB77" s="89">
        <f t="shared" si="78"/>
        <v>0</v>
      </c>
      <c r="BC77" s="89">
        <f t="shared" si="78"/>
        <v>0</v>
      </c>
      <c r="BD77" s="89">
        <f t="shared" si="78"/>
        <v>0</v>
      </c>
      <c r="BE77" s="89">
        <f t="shared" si="78"/>
        <v>0</v>
      </c>
      <c r="BF77" s="89">
        <f t="shared" si="78"/>
        <v>0</v>
      </c>
      <c r="BG77" s="89">
        <f t="shared" si="78"/>
        <v>0</v>
      </c>
      <c r="BH77" s="67"/>
      <c r="BI77" s="68"/>
      <c r="BJ77" s="68"/>
      <c r="BK77" s="68"/>
      <c r="BL77" s="68"/>
    </row>
    <row r="78" spans="1:64" ht="15.75" hidden="1" customHeight="1" x14ac:dyDescent="0.25">
      <c r="A78" s="29"/>
      <c r="B78" s="29"/>
      <c r="C78" s="159" t="s">
        <v>113</v>
      </c>
      <c r="D78" s="168" t="s">
        <v>143</v>
      </c>
      <c r="E78" s="70"/>
      <c r="F78" s="22"/>
      <c r="G78" s="22"/>
      <c r="H78" s="100"/>
      <c r="I78" s="24">
        <f t="shared" ref="I78:K80" si="79">U78+X78+AA78+AD78+AG78+AJ78+AM78+AP78+AS78+AV78+AY78+BB78</f>
        <v>0</v>
      </c>
      <c r="J78" s="24">
        <f t="shared" si="79"/>
        <v>0</v>
      </c>
      <c r="K78" s="24">
        <f t="shared" si="79"/>
        <v>0</v>
      </c>
      <c r="L78" s="24">
        <f t="shared" si="57"/>
        <v>0</v>
      </c>
      <c r="M78" s="24">
        <f t="shared" si="57"/>
        <v>0</v>
      </c>
      <c r="N78" s="24">
        <f t="shared" si="57"/>
        <v>0</v>
      </c>
      <c r="O78" s="24">
        <f t="shared" ref="O78:P80" si="80">E78-I78</f>
        <v>0</v>
      </c>
      <c r="P78" s="24">
        <f t="shared" si="80"/>
        <v>0</v>
      </c>
      <c r="Q78" s="24">
        <f t="shared" ref="Q78:Q80" si="81">H78-K78</f>
        <v>0</v>
      </c>
      <c r="R78" s="26" t="e">
        <f t="shared" si="75"/>
        <v>#DIV/0!</v>
      </c>
      <c r="S78" s="26" t="e">
        <f t="shared" si="75"/>
        <v>#DIV/0!</v>
      </c>
      <c r="T78" s="26" t="e">
        <f t="shared" si="76"/>
        <v>#DIV/0!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7"/>
      <c r="BI78" s="28"/>
      <c r="BJ78" s="28"/>
      <c r="BK78" s="28"/>
      <c r="BL78" s="28"/>
    </row>
    <row r="79" spans="1:64" ht="15.75" hidden="1" customHeight="1" x14ac:dyDescent="0.25">
      <c r="A79" s="29"/>
      <c r="B79" s="29"/>
      <c r="C79" s="159" t="s">
        <v>144</v>
      </c>
      <c r="D79" s="168" t="s">
        <v>164</v>
      </c>
      <c r="E79" s="47"/>
      <c r="F79" s="22"/>
      <c r="G79" s="22"/>
      <c r="H79" s="100"/>
      <c r="I79" s="24">
        <f t="shared" si="79"/>
        <v>0</v>
      </c>
      <c r="J79" s="24">
        <f t="shared" si="79"/>
        <v>0</v>
      </c>
      <c r="K79" s="24">
        <f t="shared" si="79"/>
        <v>0</v>
      </c>
      <c r="L79" s="24">
        <f t="shared" si="57"/>
        <v>0</v>
      </c>
      <c r="M79" s="24">
        <f t="shared" si="57"/>
        <v>0</v>
      </c>
      <c r="N79" s="24">
        <f t="shared" si="57"/>
        <v>0</v>
      </c>
      <c r="O79" s="24">
        <f t="shared" si="80"/>
        <v>0</v>
      </c>
      <c r="P79" s="24">
        <f t="shared" si="80"/>
        <v>0</v>
      </c>
      <c r="Q79" s="24">
        <f t="shared" si="81"/>
        <v>0</v>
      </c>
      <c r="R79" s="26" t="e">
        <f t="shared" si="75"/>
        <v>#DIV/0!</v>
      </c>
      <c r="S79" s="26" t="e">
        <f t="shared" si="75"/>
        <v>#DIV/0!</v>
      </c>
      <c r="T79" s="26" t="e">
        <f t="shared" si="76"/>
        <v>#DIV/0!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7"/>
      <c r="BI79" s="28"/>
      <c r="BJ79" s="28"/>
      <c r="BK79" s="28"/>
      <c r="BL79" s="28"/>
    </row>
    <row r="80" spans="1:64" ht="15.75" hidden="1" customHeight="1" x14ac:dyDescent="0.25">
      <c r="A80" s="29"/>
      <c r="B80" s="29"/>
      <c r="C80" s="159" t="s">
        <v>113</v>
      </c>
      <c r="D80" s="168" t="s">
        <v>165</v>
      </c>
      <c r="E80" s="22"/>
      <c r="F80" s="22"/>
      <c r="G80" s="22"/>
      <c r="H80" s="22"/>
      <c r="I80" s="24">
        <f t="shared" si="79"/>
        <v>0</v>
      </c>
      <c r="J80" s="24">
        <f t="shared" si="79"/>
        <v>0</v>
      </c>
      <c r="K80" s="24">
        <f t="shared" si="79"/>
        <v>0</v>
      </c>
      <c r="L80" s="24">
        <f t="shared" si="57"/>
        <v>0</v>
      </c>
      <c r="M80" s="24">
        <f t="shared" si="57"/>
        <v>0</v>
      </c>
      <c r="N80" s="24">
        <f t="shared" si="57"/>
        <v>0</v>
      </c>
      <c r="O80" s="24">
        <f t="shared" si="80"/>
        <v>0</v>
      </c>
      <c r="P80" s="24">
        <f t="shared" si="80"/>
        <v>0</v>
      </c>
      <c r="Q80" s="24">
        <f t="shared" si="81"/>
        <v>0</v>
      </c>
      <c r="R80" s="26" t="e">
        <f t="shared" si="75"/>
        <v>#DIV/0!</v>
      </c>
      <c r="S80" s="26" t="e">
        <f t="shared" si="75"/>
        <v>#DIV/0!</v>
      </c>
      <c r="T80" s="26" t="e">
        <f t="shared" si="76"/>
        <v>#DIV/0!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7"/>
      <c r="BI80" s="28"/>
      <c r="BJ80" s="28"/>
      <c r="BK80" s="28"/>
      <c r="BL80" s="28"/>
    </row>
    <row r="81" spans="1:64" ht="15.75" customHeight="1" x14ac:dyDescent="0.25">
      <c r="A81" s="119"/>
      <c r="B81" s="119"/>
      <c r="C81" s="120"/>
      <c r="D81" s="121" t="s">
        <v>166</v>
      </c>
      <c r="E81" s="122">
        <f>SUM(E82:E83)</f>
        <v>9900</v>
      </c>
      <c r="F81" s="122">
        <f>SUM(F82:F83)</f>
        <v>60804.639999999999</v>
      </c>
      <c r="G81" s="122"/>
      <c r="H81" s="122">
        <f>SUM(H82:H83)</f>
        <v>0</v>
      </c>
      <c r="I81" s="122">
        <f>SUM(I82:I83)</f>
        <v>0</v>
      </c>
      <c r="J81" s="122">
        <f>SUM(J82:J83)</f>
        <v>60511.01999999999</v>
      </c>
      <c r="K81" s="122">
        <f>SUM(K82:K83)</f>
        <v>0</v>
      </c>
      <c r="L81" s="112">
        <f t="shared" si="57"/>
        <v>9900</v>
      </c>
      <c r="M81" s="112">
        <f t="shared" si="57"/>
        <v>60511.01999999999</v>
      </c>
      <c r="N81" s="112">
        <f t="shared" si="57"/>
        <v>0</v>
      </c>
      <c r="O81" s="122">
        <f>SUM(O82:O83)</f>
        <v>0</v>
      </c>
      <c r="P81" s="122">
        <f>SUM(P82:P83)</f>
        <v>293.6200000000099</v>
      </c>
      <c r="Q81" s="122">
        <f>SUM(Q82:Q83)</f>
        <v>0</v>
      </c>
      <c r="R81" s="123">
        <f t="shared" si="75"/>
        <v>0</v>
      </c>
      <c r="S81" s="123">
        <f t="shared" si="75"/>
        <v>0.99517109220612099</v>
      </c>
      <c r="T81" s="123" t="e">
        <f t="shared" si="76"/>
        <v>#DIV/0!</v>
      </c>
      <c r="U81" s="122">
        <f>SUM(U82:U83)</f>
        <v>0</v>
      </c>
      <c r="V81" s="122">
        <f>SUM(V82:V83)</f>
        <v>0</v>
      </c>
      <c r="W81" s="122">
        <f>SUM(W82:W83)</f>
        <v>0</v>
      </c>
      <c r="X81" s="122">
        <f>SUM(X82:X83)</f>
        <v>0</v>
      </c>
      <c r="Y81" s="122">
        <f>SUM(Y82:Y83)</f>
        <v>24501.86</v>
      </c>
      <c r="Z81" s="122">
        <f>SUM(Z82:Z83)</f>
        <v>0</v>
      </c>
      <c r="AA81" s="122">
        <f>SUM(AA82:AA83)</f>
        <v>0</v>
      </c>
      <c r="AB81" s="122">
        <f>SUM(AB82:AB83)</f>
        <v>21833.119999999999</v>
      </c>
      <c r="AC81" s="122">
        <f>SUM(AC82:AC83)</f>
        <v>0</v>
      </c>
      <c r="AD81" s="122">
        <f>SUM(AD82:AD83)</f>
        <v>0</v>
      </c>
      <c r="AE81" s="122">
        <f>SUM(AE82:AE83)</f>
        <v>0</v>
      </c>
      <c r="AF81" s="122">
        <f>SUM(AF82:AF83)</f>
        <v>0</v>
      </c>
      <c r="AG81" s="122">
        <f>SUM(AG82:AG83)</f>
        <v>0</v>
      </c>
      <c r="AH81" s="122">
        <f>SUM(AH82:AH83)</f>
        <v>8320.4499999999989</v>
      </c>
      <c r="AI81" s="122">
        <f>SUM(AI82:AI83)</f>
        <v>0</v>
      </c>
      <c r="AJ81" s="122">
        <f>SUM(AJ82:AJ83)</f>
        <v>0</v>
      </c>
      <c r="AK81" s="122">
        <f>SUM(AK82:AK83)</f>
        <v>0</v>
      </c>
      <c r="AL81" s="122">
        <f>SUM(AL82:AL83)</f>
        <v>0</v>
      </c>
      <c r="AM81" s="122">
        <f>SUM(AM82:AM83)</f>
        <v>0</v>
      </c>
      <c r="AN81" s="122">
        <f>SUM(AN82:AN83)</f>
        <v>5855.59</v>
      </c>
      <c r="AO81" s="122">
        <f>SUM(AO82:AO83)</f>
        <v>0</v>
      </c>
      <c r="AP81" s="122">
        <f>SUM(AP82:AP83)</f>
        <v>9900</v>
      </c>
      <c r="AQ81" s="122">
        <f>SUM(AQ82:AQ83)</f>
        <v>0</v>
      </c>
      <c r="AR81" s="122">
        <f>SUM(AR82:AR83)</f>
        <v>0</v>
      </c>
      <c r="AS81" s="122">
        <f>SUM(AS82:AS83)</f>
        <v>0</v>
      </c>
      <c r="AT81" s="122">
        <f>SUM(AT82:AT83)</f>
        <v>0</v>
      </c>
      <c r="AU81" s="122">
        <f>SUM(AU82:AU83)</f>
        <v>0</v>
      </c>
      <c r="AV81" s="122">
        <f>SUM(AV82:AV83)</f>
        <v>0</v>
      </c>
      <c r="AW81" s="122">
        <f>SUM(AW82:AW83)</f>
        <v>0</v>
      </c>
      <c r="AX81" s="122">
        <f>SUM(AX82:AX83)</f>
        <v>0</v>
      </c>
      <c r="AY81" s="122">
        <f>SUM(AY82:AY83)</f>
        <v>0</v>
      </c>
      <c r="AZ81" s="122">
        <f>SUM(AZ82:AZ83)</f>
        <v>0</v>
      </c>
      <c r="BA81" s="122">
        <f>SUM(BA82:BA83)</f>
        <v>0</v>
      </c>
      <c r="BB81" s="122">
        <f>SUM(BB82:BB83)</f>
        <v>0</v>
      </c>
      <c r="BC81" s="122">
        <f>SUM(BC82:BC83)</f>
        <v>0</v>
      </c>
      <c r="BD81" s="122">
        <f>SUM(BD82:BD83)</f>
        <v>0</v>
      </c>
      <c r="BE81" s="122">
        <f>SUM(BE82:BE83)</f>
        <v>0</v>
      </c>
      <c r="BF81" s="122">
        <f>SUM(BF82:BF83)</f>
        <v>0</v>
      </c>
      <c r="BG81" s="122">
        <f>SUM(BG82:BG83)</f>
        <v>0</v>
      </c>
      <c r="BH81" s="110"/>
      <c r="BI81" s="111"/>
      <c r="BJ81" s="111"/>
      <c r="BK81" s="111"/>
      <c r="BL81" s="111"/>
    </row>
    <row r="82" spans="1:64" ht="15.75" customHeight="1" x14ac:dyDescent="0.25">
      <c r="A82" s="29"/>
      <c r="B82" s="55" t="s">
        <v>167</v>
      </c>
      <c r="C82" s="159" t="s">
        <v>168</v>
      </c>
      <c r="D82" s="168" t="s">
        <v>169</v>
      </c>
      <c r="E82" s="70"/>
      <c r="F82" s="37">
        <v>60804.639999999999</v>
      </c>
      <c r="G82" s="101"/>
      <c r="H82" s="100"/>
      <c r="I82" s="24">
        <f t="shared" ref="I82:K82" si="82">U82+X82+AA82+AD82+AG82+AJ82+AM82+AP82+AS82+AV82+AY82+BB82</f>
        <v>0</v>
      </c>
      <c r="J82" s="24">
        <f t="shared" si="82"/>
        <v>60511.01999999999</v>
      </c>
      <c r="K82" s="24">
        <f t="shared" si="82"/>
        <v>0</v>
      </c>
      <c r="L82" s="24">
        <f t="shared" si="57"/>
        <v>0</v>
      </c>
      <c r="M82" s="24">
        <f t="shared" si="57"/>
        <v>60511.01999999999</v>
      </c>
      <c r="N82" s="24">
        <f t="shared" si="57"/>
        <v>0</v>
      </c>
      <c r="O82" s="24">
        <f>E82-I82</f>
        <v>0</v>
      </c>
      <c r="P82" s="24">
        <f>F82-J82</f>
        <v>293.6200000000099</v>
      </c>
      <c r="Q82" s="24">
        <f t="shared" ref="Q82" si="83">H82-K82</f>
        <v>0</v>
      </c>
      <c r="R82" s="26" t="e">
        <f t="shared" si="75"/>
        <v>#DIV/0!</v>
      </c>
      <c r="S82" s="26">
        <f t="shared" si="75"/>
        <v>0.99517109220612099</v>
      </c>
      <c r="T82" s="26" t="e">
        <f t="shared" si="76"/>
        <v>#DIV/0!</v>
      </c>
      <c r="U82" s="22"/>
      <c r="V82" s="22"/>
      <c r="W82" s="22"/>
      <c r="X82" s="22"/>
      <c r="Y82" s="22">
        <f>24501.86</f>
        <v>24501.86</v>
      </c>
      <c r="Z82" s="22"/>
      <c r="AA82" s="22"/>
      <c r="AB82" s="22">
        <f>21833.12</f>
        <v>21833.119999999999</v>
      </c>
      <c r="AC82" s="22"/>
      <c r="AD82" s="22"/>
      <c r="AE82" s="22"/>
      <c r="AF82" s="22"/>
      <c r="AG82" s="22"/>
      <c r="AH82" s="22">
        <f>706.56+150.48+142.25+473.29+62.09+663.05+913.98+195.36+846.89+892.24+2169.36+1104.9</f>
        <v>8320.4499999999989</v>
      </c>
      <c r="AI82" s="22"/>
      <c r="AJ82" s="22"/>
      <c r="AK82" s="22"/>
      <c r="AL82" s="22"/>
      <c r="AM82" s="22"/>
      <c r="AN82" s="22">
        <f>5855.59</f>
        <v>5855.59</v>
      </c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7"/>
      <c r="BI82" s="28"/>
      <c r="BJ82" s="28"/>
      <c r="BK82" s="28"/>
      <c r="BL82" s="28"/>
    </row>
    <row r="83" spans="1:64" ht="15.75" customHeight="1" x14ac:dyDescent="0.25">
      <c r="A83" s="29" t="s">
        <v>170</v>
      </c>
      <c r="B83" s="55"/>
      <c r="C83" s="159" t="s">
        <v>128</v>
      </c>
      <c r="D83" s="168" t="s">
        <v>171</v>
      </c>
      <c r="E83" s="70">
        <v>9900</v>
      </c>
      <c r="F83" s="101"/>
      <c r="G83" s="101"/>
      <c r="H83" s="100"/>
      <c r="I83" s="24"/>
      <c r="J83" s="24"/>
      <c r="K83" s="24"/>
      <c r="L83" s="24"/>
      <c r="M83" s="24"/>
      <c r="N83" s="24"/>
      <c r="O83" s="24"/>
      <c r="P83" s="24"/>
      <c r="Q83" s="24"/>
      <c r="R83" s="26"/>
      <c r="S83" s="26"/>
      <c r="T83" s="26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>
        <v>9900</v>
      </c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7"/>
      <c r="BI83" s="28"/>
      <c r="BJ83" s="28"/>
      <c r="BK83" s="28"/>
      <c r="BL83" s="28"/>
    </row>
    <row r="84" spans="1:64" ht="15.75" customHeight="1" x14ac:dyDescent="0.25">
      <c r="A84" s="119"/>
      <c r="B84" s="119"/>
      <c r="C84" s="120"/>
      <c r="D84" s="121" t="s">
        <v>172</v>
      </c>
      <c r="E84" s="122">
        <f>SUM(E85:E85)</f>
        <v>0</v>
      </c>
      <c r="F84" s="122">
        <f>SUM(F85:F85)</f>
        <v>24308.400000000001</v>
      </c>
      <c r="G84" s="122"/>
      <c r="H84" s="122">
        <f>SUM(H85:H85)</f>
        <v>0</v>
      </c>
      <c r="I84" s="122">
        <f>SUM(I85:I85)</f>
        <v>0</v>
      </c>
      <c r="J84" s="122">
        <f>SUM(J85:J85)</f>
        <v>15608.400000000001</v>
      </c>
      <c r="K84" s="122">
        <f>SUM(K85:K85)</f>
        <v>0</v>
      </c>
      <c r="L84" s="112">
        <f t="shared" si="57"/>
        <v>0</v>
      </c>
      <c r="M84" s="112">
        <f t="shared" si="57"/>
        <v>15608.400000000001</v>
      </c>
      <c r="N84" s="112">
        <f t="shared" si="57"/>
        <v>0</v>
      </c>
      <c r="O84" s="122">
        <f>SUM(O85:O85)</f>
        <v>0</v>
      </c>
      <c r="P84" s="122">
        <f>SUM(P85:P85)</f>
        <v>8700</v>
      </c>
      <c r="Q84" s="122">
        <f>SUM(Q85:Q85)</f>
        <v>0</v>
      </c>
      <c r="R84" s="123" t="e">
        <f t="shared" si="75"/>
        <v>#DIV/0!</v>
      </c>
      <c r="S84" s="123">
        <f t="shared" si="75"/>
        <v>0.64209902749666781</v>
      </c>
      <c r="T84" s="123" t="e">
        <f t="shared" si="76"/>
        <v>#DIV/0!</v>
      </c>
      <c r="U84" s="122">
        <f>SUM(U85:U85)</f>
        <v>0</v>
      </c>
      <c r="V84" s="122">
        <f>SUM(V85:V85)</f>
        <v>0</v>
      </c>
      <c r="W84" s="122">
        <f>SUM(W85:W85)</f>
        <v>0</v>
      </c>
      <c r="X84" s="122">
        <f>SUM(X85:X85)</f>
        <v>0</v>
      </c>
      <c r="Y84" s="122">
        <f>SUM(Y85:Y85)</f>
        <v>0</v>
      </c>
      <c r="Z84" s="122">
        <f>SUM(Z85:Z85)</f>
        <v>0</v>
      </c>
      <c r="AA84" s="122">
        <f>SUM(AA85:AA85)</f>
        <v>0</v>
      </c>
      <c r="AB84" s="122">
        <f>SUM(AB85:AB85)</f>
        <v>13318.720000000001</v>
      </c>
      <c r="AC84" s="122">
        <f>SUM(AC85:AC85)</f>
        <v>0</v>
      </c>
      <c r="AD84" s="122">
        <f>SUM(AD85:AD85)</f>
        <v>0</v>
      </c>
      <c r="AE84" s="122">
        <f>SUM(AE85:AE85)</f>
        <v>2289.6799999999998</v>
      </c>
      <c r="AF84" s="122">
        <f>SUM(AF85:AF85)</f>
        <v>0</v>
      </c>
      <c r="AG84" s="122">
        <f>SUM(AG85:AG85)</f>
        <v>0</v>
      </c>
      <c r="AH84" s="122">
        <f>SUM(AH85:AH85)</f>
        <v>0</v>
      </c>
      <c r="AI84" s="122">
        <f>SUM(AI85:AI85)</f>
        <v>0</v>
      </c>
      <c r="AJ84" s="122">
        <f>SUM(AJ85:AJ85)</f>
        <v>0</v>
      </c>
      <c r="AK84" s="122">
        <f>SUM(AK85:AK85)</f>
        <v>0</v>
      </c>
      <c r="AL84" s="122">
        <f>SUM(AL85:AL85)</f>
        <v>0</v>
      </c>
      <c r="AM84" s="122">
        <f>SUM(AM85:AM85)</f>
        <v>0</v>
      </c>
      <c r="AN84" s="122">
        <f>SUM(AN85:AN85)</f>
        <v>0</v>
      </c>
      <c r="AO84" s="122">
        <f>SUM(AO85:AO85)</f>
        <v>0</v>
      </c>
      <c r="AP84" s="122">
        <f>SUM(AP85:AP85)</f>
        <v>0</v>
      </c>
      <c r="AQ84" s="122">
        <f>SUM(AQ85:AQ85)</f>
        <v>0</v>
      </c>
      <c r="AR84" s="122">
        <f>SUM(AR85:AR85)</f>
        <v>0</v>
      </c>
      <c r="AS84" s="122">
        <f>SUM(AS85:AS85)</f>
        <v>0</v>
      </c>
      <c r="AT84" s="122">
        <f>SUM(AT85:AT85)</f>
        <v>0</v>
      </c>
      <c r="AU84" s="122">
        <f>SUM(AU85:AU85)</f>
        <v>0</v>
      </c>
      <c r="AV84" s="122">
        <f>SUM(AV85:AV85)</f>
        <v>0</v>
      </c>
      <c r="AW84" s="122">
        <f>SUM(AW85:AW85)</f>
        <v>0</v>
      </c>
      <c r="AX84" s="122">
        <f>SUM(AX85:AX85)</f>
        <v>0</v>
      </c>
      <c r="AY84" s="122">
        <f>SUM(AY85:AY85)</f>
        <v>0</v>
      </c>
      <c r="AZ84" s="122">
        <f>SUM(AZ85:AZ85)</f>
        <v>0</v>
      </c>
      <c r="BA84" s="122">
        <f>SUM(BA85:BA85)</f>
        <v>0</v>
      </c>
      <c r="BB84" s="122">
        <f>SUM(BB85:BB85)</f>
        <v>0</v>
      </c>
      <c r="BC84" s="122">
        <f>SUM(BC85:BC85)</f>
        <v>0</v>
      </c>
      <c r="BD84" s="122">
        <f>SUM(BD85:BD85)</f>
        <v>0</v>
      </c>
      <c r="BE84" s="122">
        <f>SUM(BE85:BE85)</f>
        <v>0</v>
      </c>
      <c r="BF84" s="122">
        <f>SUM(BF85:BF85)</f>
        <v>0</v>
      </c>
      <c r="BG84" s="122">
        <f>SUM(BG85:BG85)</f>
        <v>0</v>
      </c>
      <c r="BH84" s="110"/>
      <c r="BI84" s="111"/>
      <c r="BJ84" s="111"/>
      <c r="BK84" s="111"/>
      <c r="BL84" s="111"/>
    </row>
    <row r="85" spans="1:64" ht="31.5" x14ac:dyDescent="0.25">
      <c r="A85" s="29"/>
      <c r="B85" s="55" t="s">
        <v>173</v>
      </c>
      <c r="C85" s="159"/>
      <c r="D85" s="168" t="s">
        <v>174</v>
      </c>
      <c r="E85" s="22"/>
      <c r="F85" s="37">
        <f>6550+2289.68+6768.72+8700</f>
        <v>24308.400000000001</v>
      </c>
      <c r="G85" s="37"/>
      <c r="H85" s="23"/>
      <c r="I85" s="24">
        <f t="shared" ref="I85:K85" si="84">U85+X85+AA85+AD85+AG85+AJ85+AM85+AP85+AS85+AV85+AY85+BB85</f>
        <v>0</v>
      </c>
      <c r="J85" s="24">
        <f t="shared" si="84"/>
        <v>15608.400000000001</v>
      </c>
      <c r="K85" s="24">
        <f t="shared" si="84"/>
        <v>0</v>
      </c>
      <c r="L85" s="24">
        <f t="shared" si="57"/>
        <v>0</v>
      </c>
      <c r="M85" s="24">
        <f t="shared" si="57"/>
        <v>15608.400000000001</v>
      </c>
      <c r="N85" s="24">
        <f t="shared" si="57"/>
        <v>0</v>
      </c>
      <c r="O85" s="24">
        <f t="shared" ref="O85:P85" si="85">E85-I85</f>
        <v>0</v>
      </c>
      <c r="P85" s="24">
        <f t="shared" si="85"/>
        <v>8700</v>
      </c>
      <c r="Q85" s="24">
        <f t="shared" ref="Q85" si="86">H85-K85</f>
        <v>0</v>
      </c>
      <c r="R85" s="26" t="e">
        <f t="shared" si="75"/>
        <v>#DIV/0!</v>
      </c>
      <c r="S85" s="26">
        <f t="shared" si="75"/>
        <v>0.64209902749666781</v>
      </c>
      <c r="T85" s="26" t="e">
        <f t="shared" si="76"/>
        <v>#DIV/0!</v>
      </c>
      <c r="U85" s="124"/>
      <c r="V85" s="22"/>
      <c r="W85" s="22"/>
      <c r="X85" s="22"/>
      <c r="Y85" s="22"/>
      <c r="Z85" s="22"/>
      <c r="AA85" s="22"/>
      <c r="AB85" s="22">
        <f>6550+6768.72</f>
        <v>13318.720000000001</v>
      </c>
      <c r="AC85" s="22"/>
      <c r="AD85" s="22"/>
      <c r="AE85" s="22">
        <v>2289.6799999999998</v>
      </c>
      <c r="AF85" s="22"/>
      <c r="AG85" s="22"/>
      <c r="AH85" s="22"/>
      <c r="AI85" s="22"/>
      <c r="AJ85" s="22"/>
      <c r="AK85" s="22"/>
      <c r="AL85" s="22"/>
      <c r="AM85" s="22"/>
      <c r="AN85" s="22"/>
      <c r="AO85" s="100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7"/>
      <c r="BI85" s="28"/>
      <c r="BJ85" s="28"/>
      <c r="BK85" s="28"/>
      <c r="BL85" s="28"/>
    </row>
    <row r="86" spans="1:64" ht="21" x14ac:dyDescent="0.25">
      <c r="A86" s="17"/>
      <c r="B86" s="17"/>
      <c r="C86" s="17" t="s">
        <v>175</v>
      </c>
      <c r="D86" s="17"/>
      <c r="E86" s="18">
        <f>E87+E93+E101</f>
        <v>35819.020000000004</v>
      </c>
      <c r="F86" s="18">
        <f>F87+F93+F101</f>
        <v>10631.66</v>
      </c>
      <c r="G86" s="18">
        <f>G87+G93+G101</f>
        <v>1118.73</v>
      </c>
      <c r="H86" s="18">
        <f>H87+H93+H101</f>
        <v>0</v>
      </c>
      <c r="I86" s="18">
        <f>I87+I93+I101</f>
        <v>17343.54</v>
      </c>
      <c r="J86" s="18">
        <f>J87+J93+J101</f>
        <v>6316</v>
      </c>
      <c r="K86" s="18">
        <f>K87+K93+K101</f>
        <v>0</v>
      </c>
      <c r="L86" s="18">
        <f t="shared" si="57"/>
        <v>17343.54</v>
      </c>
      <c r="M86" s="18">
        <f t="shared" si="57"/>
        <v>6316</v>
      </c>
      <c r="N86" s="18">
        <f t="shared" si="57"/>
        <v>0</v>
      </c>
      <c r="O86" s="18">
        <f>O87+O93+O101</f>
        <v>-2224.5200000000004</v>
      </c>
      <c r="P86" s="18">
        <f>P87+P93+P101</f>
        <v>3196.9300000000007</v>
      </c>
      <c r="Q86" s="18">
        <f>Q87+Q93+Q101</f>
        <v>0</v>
      </c>
      <c r="R86" s="19">
        <f t="shared" si="75"/>
        <v>0.48419917686190184</v>
      </c>
      <c r="S86" s="19">
        <f t="shared" si="75"/>
        <v>0.59407467883660692</v>
      </c>
      <c r="T86" s="19" t="e">
        <f t="shared" si="76"/>
        <v>#DIV/0!</v>
      </c>
      <c r="U86" s="18">
        <f>U87+U93+U101</f>
        <v>0</v>
      </c>
      <c r="V86" s="18">
        <f>V87+V93+V101</f>
        <v>0</v>
      </c>
      <c r="W86" s="18">
        <f>W87+W93+W101</f>
        <v>0</v>
      </c>
      <c r="X86" s="18">
        <f>X87+X93+X101</f>
        <v>1621.62</v>
      </c>
      <c r="Y86" s="18">
        <f>Y87+Y93+Y101</f>
        <v>6316</v>
      </c>
      <c r="Z86" s="18">
        <f>Z87+Z93+Z101</f>
        <v>0</v>
      </c>
      <c r="AA86" s="18">
        <f>AA87+AA93+AA101</f>
        <v>0</v>
      </c>
      <c r="AB86" s="18">
        <f>AB87+AB93+AB101</f>
        <v>0</v>
      </c>
      <c r="AC86" s="18">
        <f>AC87+AC93+AC101</f>
        <v>0</v>
      </c>
      <c r="AD86" s="18">
        <f>AD87+AD93+AD101</f>
        <v>810.81</v>
      </c>
      <c r="AE86" s="18">
        <f>AE87+AE93+AE101</f>
        <v>0</v>
      </c>
      <c r="AF86" s="18">
        <f>AF87+AF93+AF101</f>
        <v>0</v>
      </c>
      <c r="AG86" s="18">
        <f>AG87+AG93+AG101</f>
        <v>13289.49</v>
      </c>
      <c r="AH86" s="18">
        <f>AH87+AH93+AH101</f>
        <v>0</v>
      </c>
      <c r="AI86" s="18">
        <f>AI87+AI93+AI101</f>
        <v>0</v>
      </c>
      <c r="AJ86" s="18">
        <f>AJ87+AJ93+AJ101</f>
        <v>1621.62</v>
      </c>
      <c r="AK86" s="18">
        <f>AK87+AK93+AK101</f>
        <v>0</v>
      </c>
      <c r="AL86" s="18">
        <f>AL87+AL93+AL101</f>
        <v>0</v>
      </c>
      <c r="AM86" s="18">
        <f>AM87+AM93+AM101</f>
        <v>0</v>
      </c>
      <c r="AN86" s="18">
        <f>AN87+AN93+AN101</f>
        <v>0</v>
      </c>
      <c r="AO86" s="18">
        <f>AO87+AO93+AO101</f>
        <v>0</v>
      </c>
      <c r="AP86" s="18">
        <f>AP87+AP93+AP101</f>
        <v>0</v>
      </c>
      <c r="AQ86" s="18">
        <f>AQ87+AQ93+AQ101</f>
        <v>0</v>
      </c>
      <c r="AR86" s="18">
        <f>AR87+AR93+AR101</f>
        <v>0</v>
      </c>
      <c r="AS86" s="18">
        <f>AS87+AS93+AS101</f>
        <v>0</v>
      </c>
      <c r="AT86" s="18">
        <f>AT87+AT93+AT101</f>
        <v>0</v>
      </c>
      <c r="AU86" s="18">
        <f>AU87+AU93+AU101</f>
        <v>0</v>
      </c>
      <c r="AV86" s="18">
        <f>AV87+AV93+AV101</f>
        <v>0</v>
      </c>
      <c r="AW86" s="18">
        <f>AW87+AW93+AW101</f>
        <v>0</v>
      </c>
      <c r="AX86" s="18">
        <f>AX87+AX93+AX101</f>
        <v>0</v>
      </c>
      <c r="AY86" s="18">
        <f>AY87+AY93+AY101</f>
        <v>0</v>
      </c>
      <c r="AZ86" s="18">
        <f>AZ87+AZ93+AZ101</f>
        <v>0</v>
      </c>
      <c r="BA86" s="18">
        <f>BA87+BA93+BA101</f>
        <v>0</v>
      </c>
      <c r="BB86" s="18">
        <f>BB87+BB93+BB101</f>
        <v>0</v>
      </c>
      <c r="BC86" s="18">
        <f>BC87+BC93+BC101</f>
        <v>0</v>
      </c>
      <c r="BD86" s="18">
        <f>BD87+BD93+BD101</f>
        <v>0</v>
      </c>
      <c r="BE86" s="18">
        <f>BE87+BE93+BE101</f>
        <v>0</v>
      </c>
      <c r="BF86" s="18">
        <f>BF87+BF93+BF101</f>
        <v>0</v>
      </c>
      <c r="BG86" s="18">
        <f>BG87+BG93+BG101</f>
        <v>0</v>
      </c>
      <c r="BH86" s="60"/>
      <c r="BI86" s="61"/>
      <c r="BJ86" s="61"/>
      <c r="BK86" s="61"/>
      <c r="BL86" s="61"/>
    </row>
    <row r="87" spans="1:64" ht="15.75" customHeight="1" x14ac:dyDescent="0.25">
      <c r="A87" s="125"/>
      <c r="B87" s="125"/>
      <c r="C87" s="87"/>
      <c r="D87" s="126" t="s">
        <v>176</v>
      </c>
      <c r="E87" s="127">
        <f>E88+E90</f>
        <v>5000</v>
      </c>
      <c r="F87" s="127">
        <f>F88+F90</f>
        <v>0</v>
      </c>
      <c r="G87" s="127">
        <f>G88+G90</f>
        <v>0</v>
      </c>
      <c r="H87" s="127">
        <f>H88+H90</f>
        <v>0</v>
      </c>
      <c r="I87" s="127">
        <f>I88+I90</f>
        <v>0</v>
      </c>
      <c r="J87" s="127">
        <f>J88+J90</f>
        <v>0</v>
      </c>
      <c r="K87" s="127">
        <f>K88+K90</f>
        <v>0</v>
      </c>
      <c r="L87" s="118">
        <f t="shared" si="57"/>
        <v>0</v>
      </c>
      <c r="M87" s="118">
        <f t="shared" si="57"/>
        <v>0</v>
      </c>
      <c r="N87" s="118">
        <f t="shared" si="57"/>
        <v>0</v>
      </c>
      <c r="O87" s="127">
        <f>O88+O90</f>
        <v>5000</v>
      </c>
      <c r="P87" s="127">
        <f>P88+P90</f>
        <v>0</v>
      </c>
      <c r="Q87" s="127">
        <f>Q88+Q90</f>
        <v>0</v>
      </c>
      <c r="R87" s="128">
        <f t="shared" si="75"/>
        <v>0</v>
      </c>
      <c r="S87" s="128" t="e">
        <f t="shared" si="75"/>
        <v>#DIV/0!</v>
      </c>
      <c r="T87" s="128" t="e">
        <f t="shared" si="76"/>
        <v>#DIV/0!</v>
      </c>
      <c r="U87" s="127">
        <f>U88+U90</f>
        <v>0</v>
      </c>
      <c r="V87" s="127">
        <f>V88+V90</f>
        <v>0</v>
      </c>
      <c r="W87" s="127">
        <f>W88+W90</f>
        <v>0</v>
      </c>
      <c r="X87" s="127">
        <f>X88+X90</f>
        <v>0</v>
      </c>
      <c r="Y87" s="127">
        <f>Y88+Y90</f>
        <v>0</v>
      </c>
      <c r="Z87" s="127">
        <f>Z88+Z90</f>
        <v>0</v>
      </c>
      <c r="AA87" s="127">
        <f>AA88+AA90</f>
        <v>0</v>
      </c>
      <c r="AB87" s="127">
        <f>AB88+AB90</f>
        <v>0</v>
      </c>
      <c r="AC87" s="127">
        <f>AC88+AC90</f>
        <v>0</v>
      </c>
      <c r="AD87" s="127">
        <f>AD88+AD90</f>
        <v>0</v>
      </c>
      <c r="AE87" s="127">
        <f>AE88+AE90</f>
        <v>0</v>
      </c>
      <c r="AF87" s="127">
        <f>AF88+AF90</f>
        <v>0</v>
      </c>
      <c r="AG87" s="127">
        <f>AG88+AG90</f>
        <v>0</v>
      </c>
      <c r="AH87" s="127">
        <f>AH88+AH90</f>
        <v>0</v>
      </c>
      <c r="AI87" s="127">
        <f>AI88+AI90</f>
        <v>0</v>
      </c>
      <c r="AJ87" s="127">
        <f>AJ88+AJ90</f>
        <v>0</v>
      </c>
      <c r="AK87" s="127">
        <f>AK88+AK90</f>
        <v>0</v>
      </c>
      <c r="AL87" s="127">
        <f>AL88+AL90</f>
        <v>0</v>
      </c>
      <c r="AM87" s="127">
        <f>AM88+AM90</f>
        <v>0</v>
      </c>
      <c r="AN87" s="127">
        <f>AN88+AN90</f>
        <v>0</v>
      </c>
      <c r="AO87" s="127">
        <f>AO88+AO90</f>
        <v>0</v>
      </c>
      <c r="AP87" s="127">
        <f>AP88+AP90</f>
        <v>0</v>
      </c>
      <c r="AQ87" s="127">
        <f>AQ88+AQ90</f>
        <v>0</v>
      </c>
      <c r="AR87" s="127">
        <f>AR88+AR90</f>
        <v>0</v>
      </c>
      <c r="AS87" s="127">
        <f>AS88+AS90</f>
        <v>0</v>
      </c>
      <c r="AT87" s="127">
        <f>AT88+AT90</f>
        <v>0</v>
      </c>
      <c r="AU87" s="127">
        <f>AU88+AU90</f>
        <v>0</v>
      </c>
      <c r="AV87" s="127">
        <f>AV88+AV90</f>
        <v>0</v>
      </c>
      <c r="AW87" s="127">
        <f>AW88+AW90</f>
        <v>0</v>
      </c>
      <c r="AX87" s="127">
        <f>AX88+AX90</f>
        <v>0</v>
      </c>
      <c r="AY87" s="127">
        <f>AY88+AY90</f>
        <v>0</v>
      </c>
      <c r="AZ87" s="127">
        <f>AZ88+AZ90</f>
        <v>0</v>
      </c>
      <c r="BA87" s="127">
        <f>BA88+BA90</f>
        <v>0</v>
      </c>
      <c r="BB87" s="127">
        <f>BB88+BB90</f>
        <v>0</v>
      </c>
      <c r="BC87" s="127">
        <f>BC88+BC90</f>
        <v>0</v>
      </c>
      <c r="BD87" s="127">
        <f>BD88+BD90</f>
        <v>0</v>
      </c>
      <c r="BE87" s="127">
        <f>BE88+BE90</f>
        <v>0</v>
      </c>
      <c r="BF87" s="127">
        <f>BF88+BF90</f>
        <v>0</v>
      </c>
      <c r="BG87" s="127">
        <f>BG88+BG90</f>
        <v>0</v>
      </c>
      <c r="BH87" s="67"/>
      <c r="BI87" s="68"/>
      <c r="BJ87" s="68"/>
      <c r="BK87" s="68"/>
      <c r="BL87" s="68"/>
    </row>
    <row r="88" spans="1:64" ht="15.75" x14ac:dyDescent="0.25">
      <c r="A88" s="113"/>
      <c r="B88" s="113"/>
      <c r="C88" s="106"/>
      <c r="D88" s="107" t="s">
        <v>177</v>
      </c>
      <c r="E88" s="108">
        <f>SUM(E89:E89)</f>
        <v>5000</v>
      </c>
      <c r="F88" s="108">
        <f>SUM(F89:F89)</f>
        <v>0</v>
      </c>
      <c r="G88" s="108"/>
      <c r="H88" s="108">
        <f>SUM(H89:H89)</f>
        <v>0</v>
      </c>
      <c r="I88" s="108">
        <f>SUM(I89:I89)</f>
        <v>0</v>
      </c>
      <c r="J88" s="108">
        <f>SUM(J89:J89)</f>
        <v>0</v>
      </c>
      <c r="K88" s="108">
        <f>SUM(K89:K89)</f>
        <v>0</v>
      </c>
      <c r="L88" s="129">
        <f t="shared" si="57"/>
        <v>0</v>
      </c>
      <c r="M88" s="129">
        <f t="shared" si="57"/>
        <v>0</v>
      </c>
      <c r="N88" s="129">
        <f t="shared" si="57"/>
        <v>0</v>
      </c>
      <c r="O88" s="108">
        <f>SUM(O89:O89)</f>
        <v>5000</v>
      </c>
      <c r="P88" s="108">
        <f>SUM(P89:P89)</f>
        <v>0</v>
      </c>
      <c r="Q88" s="108">
        <f>SUM(Q89:Q89)</f>
        <v>0</v>
      </c>
      <c r="R88" s="130">
        <f t="shared" si="75"/>
        <v>0</v>
      </c>
      <c r="S88" s="130" t="e">
        <f t="shared" si="75"/>
        <v>#DIV/0!</v>
      </c>
      <c r="T88" s="130" t="e">
        <f t="shared" si="76"/>
        <v>#DIV/0!</v>
      </c>
      <c r="U88" s="108">
        <f>SUM(U89:U89)</f>
        <v>0</v>
      </c>
      <c r="V88" s="108">
        <f>SUM(V89:V89)</f>
        <v>0</v>
      </c>
      <c r="W88" s="108">
        <f>SUM(W89:W89)</f>
        <v>0</v>
      </c>
      <c r="X88" s="108">
        <f>SUM(X89:X89)</f>
        <v>0</v>
      </c>
      <c r="Y88" s="108">
        <f>SUM(Y89:Y89)</f>
        <v>0</v>
      </c>
      <c r="Z88" s="108">
        <f>SUM(Z89:Z89)</f>
        <v>0</v>
      </c>
      <c r="AA88" s="108">
        <f>SUM(AA89:AA89)</f>
        <v>0</v>
      </c>
      <c r="AB88" s="108">
        <f>SUM(AB89:AB89)</f>
        <v>0</v>
      </c>
      <c r="AC88" s="108">
        <f>SUM(AC89:AC89)</f>
        <v>0</v>
      </c>
      <c r="AD88" s="108">
        <f>SUM(AD89:AD89)</f>
        <v>0</v>
      </c>
      <c r="AE88" s="108">
        <f>SUM(AE89:AE89)</f>
        <v>0</v>
      </c>
      <c r="AF88" s="108">
        <f>SUM(AF89:AF89)</f>
        <v>0</v>
      </c>
      <c r="AG88" s="108">
        <f>SUM(AG89:AG89)</f>
        <v>0</v>
      </c>
      <c r="AH88" s="108">
        <f>SUM(AH89:AH89)</f>
        <v>0</v>
      </c>
      <c r="AI88" s="108">
        <f>SUM(AI89:AI89)</f>
        <v>0</v>
      </c>
      <c r="AJ88" s="108">
        <f>SUM(AJ89:AJ89)</f>
        <v>0</v>
      </c>
      <c r="AK88" s="108">
        <f>SUM(AK89:AK89)</f>
        <v>0</v>
      </c>
      <c r="AL88" s="108">
        <f>SUM(AL89:AL89)</f>
        <v>0</v>
      </c>
      <c r="AM88" s="108">
        <f>SUM(AM89:AM89)</f>
        <v>0</v>
      </c>
      <c r="AN88" s="108">
        <f>SUM(AN89:AN89)</f>
        <v>0</v>
      </c>
      <c r="AO88" s="108">
        <f>SUM(AO89:AO89)</f>
        <v>0</v>
      </c>
      <c r="AP88" s="108">
        <f>SUM(AP89:AP89)</f>
        <v>0</v>
      </c>
      <c r="AQ88" s="108">
        <f>SUM(AQ89:AQ89)</f>
        <v>0</v>
      </c>
      <c r="AR88" s="108">
        <f>SUM(AR89:AR89)</f>
        <v>0</v>
      </c>
      <c r="AS88" s="108">
        <f>SUM(AS89:AS89)</f>
        <v>0</v>
      </c>
      <c r="AT88" s="108">
        <f>SUM(AT89:AT89)</f>
        <v>0</v>
      </c>
      <c r="AU88" s="108">
        <f>SUM(AU89:AU89)</f>
        <v>0</v>
      </c>
      <c r="AV88" s="108">
        <f>SUM(AV89:AV89)</f>
        <v>0</v>
      </c>
      <c r="AW88" s="108">
        <f>SUM(AW89:AW89)</f>
        <v>0</v>
      </c>
      <c r="AX88" s="108">
        <f>SUM(AX89:AX89)</f>
        <v>0</v>
      </c>
      <c r="AY88" s="108">
        <f>SUM(AY89:AY89)</f>
        <v>0</v>
      </c>
      <c r="AZ88" s="108">
        <f>SUM(AZ89:AZ89)</f>
        <v>0</v>
      </c>
      <c r="BA88" s="108">
        <f>SUM(BA89:BA89)</f>
        <v>0</v>
      </c>
      <c r="BB88" s="108">
        <f>SUM(BB89:BB89)</f>
        <v>0</v>
      </c>
      <c r="BC88" s="108">
        <f>SUM(BC89:BC89)</f>
        <v>0</v>
      </c>
      <c r="BD88" s="108">
        <f>SUM(BD89:BD89)</f>
        <v>0</v>
      </c>
      <c r="BE88" s="108">
        <f>SUM(BE89:BE89)</f>
        <v>0</v>
      </c>
      <c r="BF88" s="108">
        <f>SUM(BF89:BF89)</f>
        <v>0</v>
      </c>
      <c r="BG88" s="108">
        <f>SUM(BG89:BG89)</f>
        <v>0</v>
      </c>
      <c r="BH88" s="110"/>
      <c r="BI88" s="111"/>
      <c r="BJ88" s="111"/>
      <c r="BK88" s="111"/>
      <c r="BL88" s="111"/>
    </row>
    <row r="89" spans="1:64" ht="16.5" customHeight="1" x14ac:dyDescent="0.25">
      <c r="A89" s="29"/>
      <c r="B89" s="29"/>
      <c r="C89" s="159" t="s">
        <v>138</v>
      </c>
      <c r="D89" s="168" t="s">
        <v>178</v>
      </c>
      <c r="E89" s="70">
        <v>5000</v>
      </c>
      <c r="F89" s="22"/>
      <c r="G89" s="22"/>
      <c r="H89" s="22"/>
      <c r="I89" s="24">
        <f t="shared" ref="I89:K89" si="87">U89+X89+AA89+AD89+AG89+AJ89+AM89+AP89+AS89+AV89+AY89+BB89</f>
        <v>0</v>
      </c>
      <c r="J89" s="24">
        <f t="shared" si="87"/>
        <v>0</v>
      </c>
      <c r="K89" s="24">
        <f t="shared" si="87"/>
        <v>0</v>
      </c>
      <c r="L89" s="24">
        <f t="shared" si="57"/>
        <v>0</v>
      </c>
      <c r="M89" s="24">
        <f t="shared" si="57"/>
        <v>0</v>
      </c>
      <c r="N89" s="24">
        <f t="shared" si="57"/>
        <v>0</v>
      </c>
      <c r="O89" s="24">
        <f t="shared" ref="O89:P89" si="88">E89-I89</f>
        <v>5000</v>
      </c>
      <c r="P89" s="24">
        <f t="shared" si="88"/>
        <v>0</v>
      </c>
      <c r="Q89" s="24">
        <f t="shared" ref="Q89" si="89">H89-K89</f>
        <v>0</v>
      </c>
      <c r="R89" s="26">
        <f t="shared" si="75"/>
        <v>0</v>
      </c>
      <c r="S89" s="26" t="e">
        <f t="shared" si="75"/>
        <v>#DIV/0!</v>
      </c>
      <c r="T89" s="26" t="e">
        <f t="shared" si="76"/>
        <v>#DIV/0!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7"/>
      <c r="BI89" s="28"/>
      <c r="BJ89" s="28"/>
      <c r="BK89" s="28"/>
      <c r="BL89" s="28"/>
    </row>
    <row r="90" spans="1:64" ht="15.75" hidden="1" x14ac:dyDescent="0.25">
      <c r="A90" s="113"/>
      <c r="B90" s="113"/>
      <c r="C90" s="106"/>
      <c r="D90" s="107" t="s">
        <v>179</v>
      </c>
      <c r="E90" s="108">
        <f t="shared" ref="E90:K90" si="90">SUM(E91:E92)</f>
        <v>0</v>
      </c>
      <c r="F90" s="108">
        <f t="shared" si="90"/>
        <v>0</v>
      </c>
      <c r="G90" s="108">
        <f t="shared" si="90"/>
        <v>0</v>
      </c>
      <c r="H90" s="108">
        <f t="shared" si="90"/>
        <v>0</v>
      </c>
      <c r="I90" s="108">
        <f t="shared" si="90"/>
        <v>0</v>
      </c>
      <c r="J90" s="108">
        <f t="shared" si="90"/>
        <v>0</v>
      </c>
      <c r="K90" s="108">
        <f t="shared" si="90"/>
        <v>0</v>
      </c>
      <c r="L90" s="129">
        <f t="shared" si="57"/>
        <v>0</v>
      </c>
      <c r="M90" s="129">
        <f t="shared" si="57"/>
        <v>0</v>
      </c>
      <c r="N90" s="129">
        <f t="shared" si="57"/>
        <v>0</v>
      </c>
      <c r="O90" s="108">
        <f>SUM(O91:O92)</f>
        <v>0</v>
      </c>
      <c r="P90" s="108">
        <f>SUM(P91:P92)</f>
        <v>0</v>
      </c>
      <c r="Q90" s="108">
        <f>SUM(Q91:Q92)</f>
        <v>0</v>
      </c>
      <c r="R90" s="130" t="e">
        <f t="shared" si="75"/>
        <v>#DIV/0!</v>
      </c>
      <c r="S90" s="130" t="e">
        <f t="shared" si="75"/>
        <v>#DIV/0!</v>
      </c>
      <c r="T90" s="130" t="e">
        <f t="shared" si="76"/>
        <v>#DIV/0!</v>
      </c>
      <c r="U90" s="108">
        <f t="shared" ref="U90:BG90" si="91">SUM(U91:U92)</f>
        <v>0</v>
      </c>
      <c r="V90" s="108">
        <f t="shared" si="91"/>
        <v>0</v>
      </c>
      <c r="W90" s="108">
        <f t="shared" si="91"/>
        <v>0</v>
      </c>
      <c r="X90" s="108">
        <f t="shared" si="91"/>
        <v>0</v>
      </c>
      <c r="Y90" s="108">
        <f t="shared" si="91"/>
        <v>0</v>
      </c>
      <c r="Z90" s="108">
        <f t="shared" si="91"/>
        <v>0</v>
      </c>
      <c r="AA90" s="108">
        <f t="shared" si="91"/>
        <v>0</v>
      </c>
      <c r="AB90" s="108">
        <f t="shared" si="91"/>
        <v>0</v>
      </c>
      <c r="AC90" s="108">
        <f t="shared" si="91"/>
        <v>0</v>
      </c>
      <c r="AD90" s="108">
        <f t="shared" si="91"/>
        <v>0</v>
      </c>
      <c r="AE90" s="108">
        <f t="shared" si="91"/>
        <v>0</v>
      </c>
      <c r="AF90" s="108">
        <f t="shared" si="91"/>
        <v>0</v>
      </c>
      <c r="AG90" s="108">
        <f t="shared" si="91"/>
        <v>0</v>
      </c>
      <c r="AH90" s="108">
        <f t="shared" si="91"/>
        <v>0</v>
      </c>
      <c r="AI90" s="108">
        <f t="shared" si="91"/>
        <v>0</v>
      </c>
      <c r="AJ90" s="108">
        <f t="shared" si="91"/>
        <v>0</v>
      </c>
      <c r="AK90" s="108">
        <f t="shared" si="91"/>
        <v>0</v>
      </c>
      <c r="AL90" s="108">
        <f t="shared" si="91"/>
        <v>0</v>
      </c>
      <c r="AM90" s="108">
        <f t="shared" si="91"/>
        <v>0</v>
      </c>
      <c r="AN90" s="108">
        <f t="shared" si="91"/>
        <v>0</v>
      </c>
      <c r="AO90" s="108">
        <f t="shared" si="91"/>
        <v>0</v>
      </c>
      <c r="AP90" s="108">
        <f t="shared" si="91"/>
        <v>0</v>
      </c>
      <c r="AQ90" s="108">
        <f t="shared" si="91"/>
        <v>0</v>
      </c>
      <c r="AR90" s="108">
        <f t="shared" si="91"/>
        <v>0</v>
      </c>
      <c r="AS90" s="108">
        <f t="shared" si="91"/>
        <v>0</v>
      </c>
      <c r="AT90" s="108">
        <f t="shared" si="91"/>
        <v>0</v>
      </c>
      <c r="AU90" s="108">
        <f t="shared" si="91"/>
        <v>0</v>
      </c>
      <c r="AV90" s="108">
        <f t="shared" si="91"/>
        <v>0</v>
      </c>
      <c r="AW90" s="108">
        <f t="shared" si="91"/>
        <v>0</v>
      </c>
      <c r="AX90" s="108">
        <f t="shared" si="91"/>
        <v>0</v>
      </c>
      <c r="AY90" s="108">
        <f t="shared" si="91"/>
        <v>0</v>
      </c>
      <c r="AZ90" s="108">
        <f t="shared" si="91"/>
        <v>0</v>
      </c>
      <c r="BA90" s="108">
        <f t="shared" si="91"/>
        <v>0</v>
      </c>
      <c r="BB90" s="108">
        <f t="shared" si="91"/>
        <v>0</v>
      </c>
      <c r="BC90" s="108">
        <f t="shared" si="91"/>
        <v>0</v>
      </c>
      <c r="BD90" s="108">
        <f t="shared" si="91"/>
        <v>0</v>
      </c>
      <c r="BE90" s="108">
        <f t="shared" si="91"/>
        <v>0</v>
      </c>
      <c r="BF90" s="108">
        <f t="shared" si="91"/>
        <v>0</v>
      </c>
      <c r="BG90" s="108">
        <f t="shared" si="91"/>
        <v>0</v>
      </c>
      <c r="BH90" s="110"/>
      <c r="BI90" s="111"/>
      <c r="BJ90" s="111"/>
      <c r="BK90" s="111"/>
      <c r="BL90" s="111"/>
    </row>
    <row r="91" spans="1:64" ht="15.75" hidden="1" customHeight="1" x14ac:dyDescent="0.25">
      <c r="A91" s="29" t="s">
        <v>180</v>
      </c>
      <c r="B91" s="29"/>
      <c r="C91" s="159" t="s">
        <v>138</v>
      </c>
      <c r="D91" s="168" t="s">
        <v>181</v>
      </c>
      <c r="E91" s="23"/>
      <c r="F91" s="22"/>
      <c r="G91" s="22"/>
      <c r="H91" s="23"/>
      <c r="I91" s="24">
        <f>U91+X91+AA91+AD91+AG91+AJ91+AM91+AP91+AS91+AV91+AY91+BB91</f>
        <v>0</v>
      </c>
      <c r="J91" s="24">
        <f>V91+Y91+AB91+AE91+AH91+AK91+AN91+AQ91+AT91+AW91+AZ91+BC91</f>
        <v>0</v>
      </c>
      <c r="K91" s="24">
        <f>W91+Z91+AC91+AF91+AI91+AL91+AO91+AR91+AU91+AX91+BA91+BD91</f>
        <v>0</v>
      </c>
      <c r="L91" s="24">
        <f t="shared" ref="L91:N92" si="92">IF(BE91=0,SUM(U91+X91+AA91+AD91+AG91+AJ91+AM91+AP91+AS91+AV91+AY91+BB91),BE91)</f>
        <v>0</v>
      </c>
      <c r="M91" s="24">
        <f t="shared" ref="M91:M94" si="93">IF(BF91=0,SUM(V91+Y91+AB91+AE91+AH91+AK91+AN91+AQ91+AT91+AW91+AZ91+BC91),BF91)</f>
        <v>0</v>
      </c>
      <c r="N91" s="24">
        <f t="shared" si="92"/>
        <v>0</v>
      </c>
      <c r="O91" s="24">
        <f t="shared" ref="O91:P92" si="94">E91-I91</f>
        <v>0</v>
      </c>
      <c r="P91" s="24">
        <f t="shared" si="94"/>
        <v>0</v>
      </c>
      <c r="Q91" s="24">
        <f t="shared" ref="Q91:Q92" si="95">H91-K91</f>
        <v>0</v>
      </c>
      <c r="R91" s="26" t="e">
        <f t="shared" ref="R91:S100" si="96">I91/E91</f>
        <v>#DIV/0!</v>
      </c>
      <c r="S91" s="26" t="e">
        <f t="shared" si="96"/>
        <v>#DIV/0!</v>
      </c>
      <c r="T91" s="26" t="e">
        <f t="shared" si="76"/>
        <v>#DIV/0!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7"/>
      <c r="BI91" s="28"/>
      <c r="BJ91" s="28"/>
      <c r="BK91" s="28"/>
      <c r="BL91" s="28"/>
    </row>
    <row r="92" spans="1:64" ht="15.75" hidden="1" customHeight="1" x14ac:dyDescent="0.25">
      <c r="A92" s="29"/>
      <c r="B92" s="29"/>
      <c r="C92" s="171"/>
      <c r="D92" s="174"/>
      <c r="E92" s="23"/>
      <c r="F92" s="22"/>
      <c r="G92" s="22"/>
      <c r="H92" s="23"/>
      <c r="I92" s="24"/>
      <c r="J92" s="24">
        <f t="shared" ref="J92" si="97">V92+Y92+AB92+AE92+AH92+AK92+AN92+AQ92+AT92+AW92+AZ92+BC92</f>
        <v>0</v>
      </c>
      <c r="K92" s="24">
        <f>W92+Z92+AC92+AF92+AI92+AL92+AO92+AR92+AU92+AX92+BA92+BD92</f>
        <v>0</v>
      </c>
      <c r="L92" s="24">
        <f t="shared" si="92"/>
        <v>0</v>
      </c>
      <c r="M92" s="24">
        <f t="shared" si="93"/>
        <v>0</v>
      </c>
      <c r="N92" s="24">
        <f t="shared" si="92"/>
        <v>0</v>
      </c>
      <c r="O92" s="24">
        <f t="shared" si="94"/>
        <v>0</v>
      </c>
      <c r="P92" s="24">
        <f t="shared" si="94"/>
        <v>0</v>
      </c>
      <c r="Q92" s="24">
        <f t="shared" si="95"/>
        <v>0</v>
      </c>
      <c r="R92" s="26" t="e">
        <f t="shared" si="96"/>
        <v>#DIV/0!</v>
      </c>
      <c r="S92" s="26" t="e">
        <f t="shared" si="96"/>
        <v>#DIV/0!</v>
      </c>
      <c r="T92" s="26" t="e">
        <f t="shared" si="76"/>
        <v>#DIV/0!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7"/>
      <c r="BI92" s="28"/>
      <c r="BJ92" s="28"/>
      <c r="BK92" s="28"/>
      <c r="BL92" s="28"/>
    </row>
    <row r="93" spans="1:64" ht="15.75" customHeight="1" x14ac:dyDescent="0.25">
      <c r="A93" s="125"/>
      <c r="B93" s="125"/>
      <c r="C93" s="87"/>
      <c r="D93" s="126" t="s">
        <v>182</v>
      </c>
      <c r="E93" s="127">
        <f>E94+E99</f>
        <v>30819.02</v>
      </c>
      <c r="F93" s="127">
        <f>F94+F99</f>
        <v>2048.62</v>
      </c>
      <c r="G93" s="127">
        <f>G94+G99</f>
        <v>1118.73</v>
      </c>
      <c r="H93" s="127">
        <f>H94+H99</f>
        <v>0</v>
      </c>
      <c r="I93" s="127">
        <f>I94+I99</f>
        <v>17343.54</v>
      </c>
      <c r="J93" s="127">
        <f>J94+J99</f>
        <v>0</v>
      </c>
      <c r="K93" s="127">
        <f>K94+K99</f>
        <v>0</v>
      </c>
      <c r="L93" s="127">
        <f>IF(BE93=0,SUM(U93+X93+AA93+AD93+AG93+AJ93+AM93+AP93+AS93+AV93+AY93+BB93),BE93)</f>
        <v>17343.54</v>
      </c>
      <c r="M93" s="127">
        <f t="shared" si="93"/>
        <v>0</v>
      </c>
      <c r="N93" s="127">
        <f>IF(BG93=0,SUM(W93+Z93+AC93+AF93+AI93+AL93+AO93+AR93+AU93+AX93+BA93+BD93),BG93)</f>
        <v>0</v>
      </c>
      <c r="O93" s="127">
        <f>O94+O99</f>
        <v>-7224.52</v>
      </c>
      <c r="P93" s="127">
        <f>P94+P99</f>
        <v>929.89</v>
      </c>
      <c r="Q93" s="127">
        <f>Q94+Q99</f>
        <v>0</v>
      </c>
      <c r="R93" s="128">
        <f t="shared" si="96"/>
        <v>0.56275442892084171</v>
      </c>
      <c r="S93" s="128">
        <f>J93/F93</f>
        <v>0</v>
      </c>
      <c r="T93" s="128" t="e">
        <f t="shared" si="76"/>
        <v>#DIV/0!</v>
      </c>
      <c r="U93" s="127">
        <f>U94+U99</f>
        <v>0</v>
      </c>
      <c r="V93" s="127">
        <f>V94+V99</f>
        <v>0</v>
      </c>
      <c r="W93" s="127">
        <f>W94+W99</f>
        <v>0</v>
      </c>
      <c r="X93" s="127">
        <f>X94+X99</f>
        <v>1621.62</v>
      </c>
      <c r="Y93" s="127">
        <f>Y94+Y99</f>
        <v>0</v>
      </c>
      <c r="Z93" s="127">
        <f>Z94+Z99</f>
        <v>0</v>
      </c>
      <c r="AA93" s="127">
        <f>AA94+AA99</f>
        <v>0</v>
      </c>
      <c r="AB93" s="127">
        <f>AB94+AB99</f>
        <v>0</v>
      </c>
      <c r="AC93" s="127">
        <f>AC94+AC99</f>
        <v>0</v>
      </c>
      <c r="AD93" s="127">
        <f>AD94+AD99</f>
        <v>810.81</v>
      </c>
      <c r="AE93" s="127">
        <f>AE94+AE99</f>
        <v>0</v>
      </c>
      <c r="AF93" s="127">
        <f>AF94+AF99</f>
        <v>0</v>
      </c>
      <c r="AG93" s="127">
        <f>AG94+AG99</f>
        <v>13289.49</v>
      </c>
      <c r="AH93" s="127">
        <f>AH94+AH99</f>
        <v>0</v>
      </c>
      <c r="AI93" s="127">
        <f>AI94+AI99</f>
        <v>0</v>
      </c>
      <c r="AJ93" s="127">
        <f>AJ94+AJ99</f>
        <v>1621.62</v>
      </c>
      <c r="AK93" s="127">
        <f>AK94+AK99</f>
        <v>0</v>
      </c>
      <c r="AL93" s="127">
        <f>AL94+AL99</f>
        <v>0</v>
      </c>
      <c r="AM93" s="127">
        <f>AM94+AM99</f>
        <v>0</v>
      </c>
      <c r="AN93" s="127">
        <f>AN94+AN99</f>
        <v>0</v>
      </c>
      <c r="AO93" s="127">
        <f>AO94+AO99</f>
        <v>0</v>
      </c>
      <c r="AP93" s="127">
        <f>AP94+AP99</f>
        <v>0</v>
      </c>
      <c r="AQ93" s="127">
        <f>AQ94+AQ99</f>
        <v>0</v>
      </c>
      <c r="AR93" s="127">
        <f>AR94+AR99</f>
        <v>0</v>
      </c>
      <c r="AS93" s="127">
        <f>AS94+AS99</f>
        <v>0</v>
      </c>
      <c r="AT93" s="127">
        <f>AT94+AT99</f>
        <v>0</v>
      </c>
      <c r="AU93" s="127">
        <f>AU94+AU99</f>
        <v>0</v>
      </c>
      <c r="AV93" s="127">
        <f>AV94+AV99</f>
        <v>0</v>
      </c>
      <c r="AW93" s="127">
        <f>AW94+AW99</f>
        <v>0</v>
      </c>
      <c r="AX93" s="127">
        <f>AX94+AX99</f>
        <v>0</v>
      </c>
      <c r="AY93" s="127">
        <f>AY94+AY99</f>
        <v>0</v>
      </c>
      <c r="AZ93" s="127">
        <f>AZ94+AZ99</f>
        <v>0</v>
      </c>
      <c r="BA93" s="127">
        <f>BA94+BA99</f>
        <v>0</v>
      </c>
      <c r="BB93" s="127">
        <f>BB94+BB99</f>
        <v>0</v>
      </c>
      <c r="BC93" s="127">
        <f>BC94+BC99</f>
        <v>0</v>
      </c>
      <c r="BD93" s="127">
        <f>BD94+BD99</f>
        <v>0</v>
      </c>
      <c r="BE93" s="127">
        <f>BE94+BE99</f>
        <v>0</v>
      </c>
      <c r="BF93" s="127">
        <f>BF94+BF99</f>
        <v>0</v>
      </c>
      <c r="BG93" s="127">
        <f>BG94+BG99</f>
        <v>0</v>
      </c>
      <c r="BH93" s="67"/>
      <c r="BI93" s="68"/>
      <c r="BJ93" s="68"/>
      <c r="BK93" s="68"/>
      <c r="BL93" s="68"/>
    </row>
    <row r="94" spans="1:64" ht="15.75" x14ac:dyDescent="0.25">
      <c r="A94" s="113"/>
      <c r="B94" s="113"/>
      <c r="C94" s="106"/>
      <c r="D94" s="107" t="s">
        <v>183</v>
      </c>
      <c r="E94" s="108">
        <f>SUM(E95:E97)</f>
        <v>30819.02</v>
      </c>
      <c r="F94" s="108">
        <f>SUM(F95:F98)</f>
        <v>1118.73</v>
      </c>
      <c r="G94" s="108">
        <f>SUM(G95:G98)</f>
        <v>1118.73</v>
      </c>
      <c r="H94" s="108">
        <f>SUM(H95:H97)</f>
        <v>0</v>
      </c>
      <c r="I94" s="108">
        <f>SUM(I95:I97)</f>
        <v>17343.54</v>
      </c>
      <c r="J94" s="108">
        <f>SUM(J95:J97)</f>
        <v>0</v>
      </c>
      <c r="K94" s="108">
        <f>SUM(K95:K97)</f>
        <v>0</v>
      </c>
      <c r="L94" s="109">
        <f>IF(BE94=0,SUM(U94+X94+AA94+AD94+AG94+AJ94+AM94+AP94+AS94+AV94+AY94+BB94),BE94)</f>
        <v>17343.54</v>
      </c>
      <c r="M94" s="109">
        <f t="shared" si="93"/>
        <v>0</v>
      </c>
      <c r="N94" s="109">
        <f>IF(BG94=0,SUM(W94+Z94+AC94+AF94+AI94+AL94+AO94+AR94+AU94+AX94+BA94+BD94),BG94)</f>
        <v>0</v>
      </c>
      <c r="O94" s="108">
        <f>SUM(O95:O98)</f>
        <v>-7224.52</v>
      </c>
      <c r="P94" s="108">
        <f>SUM(P95:P98)</f>
        <v>0</v>
      </c>
      <c r="Q94" s="108">
        <f>SUM(Q95:Q97)</f>
        <v>0</v>
      </c>
      <c r="R94" s="130">
        <f t="shared" si="96"/>
        <v>0.56275442892084171</v>
      </c>
      <c r="S94" s="130">
        <f>J94/F94</f>
        <v>0</v>
      </c>
      <c r="T94" s="130" t="e">
        <f t="shared" si="76"/>
        <v>#DIV/0!</v>
      </c>
      <c r="U94" s="108">
        <f>SUM(U95:U97)</f>
        <v>0</v>
      </c>
      <c r="V94" s="108">
        <f>SUM(V95:V97)</f>
        <v>0</v>
      </c>
      <c r="W94" s="108">
        <f>SUM(W95:W97)</f>
        <v>0</v>
      </c>
      <c r="X94" s="108">
        <f>SUM(X95:X97)</f>
        <v>1621.62</v>
      </c>
      <c r="Y94" s="108">
        <f>SUM(Y95:Y97)</f>
        <v>0</v>
      </c>
      <c r="Z94" s="108">
        <f>SUM(Z95:Z97)</f>
        <v>0</v>
      </c>
      <c r="AA94" s="108">
        <f>SUM(AA95:AA97)</f>
        <v>0</v>
      </c>
      <c r="AB94" s="108">
        <f>SUM(AB95:AB98)</f>
        <v>0</v>
      </c>
      <c r="AC94" s="108">
        <f>SUM(AC95:AC97)</f>
        <v>0</v>
      </c>
      <c r="AD94" s="108">
        <f>SUM(AD95:AD97)</f>
        <v>810.81</v>
      </c>
      <c r="AE94" s="108">
        <f>SUM(AE95:AE97)</f>
        <v>0</v>
      </c>
      <c r="AF94" s="108">
        <f>SUM(AF95:AF97)</f>
        <v>0</v>
      </c>
      <c r="AG94" s="108">
        <f>SUM(AG95:AG97)</f>
        <v>13289.49</v>
      </c>
      <c r="AH94" s="108">
        <f>SUM(AH95:AH97)</f>
        <v>0</v>
      </c>
      <c r="AI94" s="108">
        <f>SUM(AI95:AI97)</f>
        <v>0</v>
      </c>
      <c r="AJ94" s="108">
        <f>SUM(AJ95:AJ97)</f>
        <v>1621.62</v>
      </c>
      <c r="AK94" s="108">
        <f>SUM(AK95:AK97)</f>
        <v>0</v>
      </c>
      <c r="AL94" s="108">
        <f>SUM(AL95:AL97)</f>
        <v>0</v>
      </c>
      <c r="AM94" s="108">
        <f>SUM(AM95:AM97)</f>
        <v>0</v>
      </c>
      <c r="AN94" s="108">
        <f>SUM(AN95:AN97)</f>
        <v>0</v>
      </c>
      <c r="AO94" s="108">
        <f>SUM(AO95:AO97)</f>
        <v>0</v>
      </c>
      <c r="AP94" s="108">
        <f>SUM(AP95:AP97)</f>
        <v>0</v>
      </c>
      <c r="AQ94" s="108">
        <f>SUM(AQ95:AQ97)</f>
        <v>0</v>
      </c>
      <c r="AR94" s="108">
        <f>SUM(AR95:AR97)</f>
        <v>0</v>
      </c>
      <c r="AS94" s="108">
        <f>SUM(AS95:AS97)</f>
        <v>0</v>
      </c>
      <c r="AT94" s="108">
        <f>SUM(AT95:AT97)</f>
        <v>0</v>
      </c>
      <c r="AU94" s="108">
        <f>SUM(AU95:AU97)</f>
        <v>0</v>
      </c>
      <c r="AV94" s="108">
        <f>SUM(AV95:AV97)</f>
        <v>0</v>
      </c>
      <c r="AW94" s="108">
        <f>SUM(AW95:AW97)</f>
        <v>0</v>
      </c>
      <c r="AX94" s="108">
        <f>SUM(AX95:AX97)</f>
        <v>0</v>
      </c>
      <c r="AY94" s="108">
        <f>SUM(AY95:AY97)</f>
        <v>0</v>
      </c>
      <c r="AZ94" s="108">
        <f>SUM(AZ95:AZ97)</f>
        <v>0</v>
      </c>
      <c r="BA94" s="108">
        <f>SUM(BA95:BA97)</f>
        <v>0</v>
      </c>
      <c r="BB94" s="108">
        <f>SUM(BB95:BB97)</f>
        <v>0</v>
      </c>
      <c r="BC94" s="108">
        <f>SUM(BC95:BC97)</f>
        <v>0</v>
      </c>
      <c r="BD94" s="108">
        <f>SUM(BD95:BD97)</f>
        <v>0</v>
      </c>
      <c r="BE94" s="108">
        <f>SUM(BE95:BE97)</f>
        <v>0</v>
      </c>
      <c r="BF94" s="108">
        <f>SUM(BF95:BF97)</f>
        <v>0</v>
      </c>
      <c r="BG94" s="108">
        <f>SUM(BG95:BG97)</f>
        <v>0</v>
      </c>
      <c r="BH94" s="110"/>
      <c r="BI94" s="111"/>
      <c r="BJ94" s="111"/>
      <c r="BK94" s="111"/>
      <c r="BL94" s="111"/>
    </row>
    <row r="95" spans="1:64" ht="15.75" customHeight="1" x14ac:dyDescent="0.25">
      <c r="A95" s="29"/>
      <c r="B95" s="29"/>
      <c r="C95" s="171" t="s">
        <v>140</v>
      </c>
      <c r="D95" s="174" t="s">
        <v>184</v>
      </c>
      <c r="E95" s="23">
        <f>3600+1800+1800+3600+3600+1800+3000+1500</f>
        <v>20700</v>
      </c>
      <c r="F95" s="23"/>
      <c r="G95" s="23"/>
      <c r="H95" s="131"/>
      <c r="I95" s="24"/>
      <c r="J95" s="24"/>
      <c r="K95" s="24"/>
      <c r="L95" s="13"/>
      <c r="M95" s="13"/>
      <c r="N95" s="13"/>
      <c r="O95" s="24"/>
      <c r="P95" s="24"/>
      <c r="Q95" s="24"/>
      <c r="R95" s="26"/>
      <c r="S95" s="26"/>
      <c r="T95" s="26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7"/>
      <c r="BI95" s="28"/>
      <c r="BJ95" s="28"/>
      <c r="BK95" s="28"/>
      <c r="BL95" s="28"/>
    </row>
    <row r="96" spans="1:64" ht="15.75" customHeight="1" x14ac:dyDescent="0.25">
      <c r="A96" s="29"/>
      <c r="B96" s="29"/>
      <c r="C96" s="161" t="s">
        <v>185</v>
      </c>
      <c r="D96" s="160" t="s">
        <v>186</v>
      </c>
      <c r="E96" s="58">
        <f>5254.16</f>
        <v>5254.16</v>
      </c>
      <c r="F96" s="23"/>
      <c r="G96" s="23"/>
      <c r="H96" s="100"/>
      <c r="I96" s="24">
        <f t="shared" ref="I96:K98" si="98">U96+X96+AA96+AD96+AG96+AJ96+AM96+AP96+AS96+AV96+AY96+BB96</f>
        <v>12478.68</v>
      </c>
      <c r="J96" s="24">
        <f t="shared" si="98"/>
        <v>0</v>
      </c>
      <c r="K96" s="24">
        <f t="shared" si="98"/>
        <v>0</v>
      </c>
      <c r="L96" s="24">
        <f t="shared" ref="L96:N102" si="99">IF(BE96=0,SUM(U96+X96+AA96+AD96+AG96+AJ96+AM96+AP96+AS96+AV96+AY96+BB96),BE96)</f>
        <v>12478.68</v>
      </c>
      <c r="M96" s="24">
        <f t="shared" si="99"/>
        <v>0</v>
      </c>
      <c r="N96" s="24">
        <f t="shared" si="99"/>
        <v>0</v>
      </c>
      <c r="O96" s="24">
        <f t="shared" ref="O96:P98" si="100">E96-I96</f>
        <v>-7224.52</v>
      </c>
      <c r="P96" s="24">
        <f t="shared" si="100"/>
        <v>0</v>
      </c>
      <c r="Q96" s="24">
        <f t="shared" ref="Q96:Q98" si="101">H96-K96</f>
        <v>0</v>
      </c>
      <c r="R96" s="26">
        <f t="shared" si="96"/>
        <v>2.3750095162690137</v>
      </c>
      <c r="S96" s="26" t="e">
        <f t="shared" si="96"/>
        <v>#DIV/0!</v>
      </c>
      <c r="T96" s="26" t="e">
        <f t="shared" ref="T96:T98" si="102">K96/H96</f>
        <v>#DIV/0!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48">
        <f>5254.16+7224.52</f>
        <v>12478.68</v>
      </c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7"/>
      <c r="BI96" s="28"/>
      <c r="BJ96" s="28"/>
      <c r="BK96" s="28"/>
      <c r="BL96" s="28"/>
    </row>
    <row r="97" spans="1:64" ht="15.75" customHeight="1" x14ac:dyDescent="0.25">
      <c r="A97" s="29" t="s">
        <v>180</v>
      </c>
      <c r="B97" s="29"/>
      <c r="C97" s="161" t="s">
        <v>140</v>
      </c>
      <c r="D97" s="160" t="s">
        <v>218</v>
      </c>
      <c r="E97" s="23">
        <v>4864.8599999999997</v>
      </c>
      <c r="F97" s="23"/>
      <c r="G97" s="23"/>
      <c r="H97" s="100"/>
      <c r="I97" s="24">
        <f t="shared" si="98"/>
        <v>4864.8599999999997</v>
      </c>
      <c r="J97" s="24">
        <f t="shared" si="98"/>
        <v>0</v>
      </c>
      <c r="K97" s="24">
        <f t="shared" si="98"/>
        <v>0</v>
      </c>
      <c r="L97" s="24">
        <f t="shared" si="99"/>
        <v>4864.8599999999997</v>
      </c>
      <c r="M97" s="24">
        <f t="shared" si="99"/>
        <v>0</v>
      </c>
      <c r="N97" s="24">
        <f t="shared" si="99"/>
        <v>0</v>
      </c>
      <c r="O97" s="24">
        <f t="shared" si="100"/>
        <v>0</v>
      </c>
      <c r="P97" s="24">
        <f t="shared" si="100"/>
        <v>0</v>
      </c>
      <c r="Q97" s="24">
        <f t="shared" si="101"/>
        <v>0</v>
      </c>
      <c r="R97" s="26">
        <f t="shared" si="96"/>
        <v>1</v>
      </c>
      <c r="S97" s="26" t="e">
        <f t="shared" si="96"/>
        <v>#DIV/0!</v>
      </c>
      <c r="T97" s="26" t="e">
        <f t="shared" si="102"/>
        <v>#DIV/0!</v>
      </c>
      <c r="U97" s="22"/>
      <c r="V97" s="22"/>
      <c r="W97" s="22"/>
      <c r="X97" s="22">
        <v>1621.62</v>
      </c>
      <c r="Y97" s="22"/>
      <c r="Z97" s="22"/>
      <c r="AA97" s="22"/>
      <c r="AB97" s="22"/>
      <c r="AC97" s="22"/>
      <c r="AD97" s="22">
        <v>810.81</v>
      </c>
      <c r="AE97" s="22"/>
      <c r="AF97" s="22"/>
      <c r="AG97" s="22">
        <v>810.81</v>
      </c>
      <c r="AH97" s="22"/>
      <c r="AI97" s="22"/>
      <c r="AJ97" s="22">
        <f>810.81+810.81</f>
        <v>1621.62</v>
      </c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7"/>
      <c r="BI97" s="28"/>
      <c r="BJ97" s="28"/>
      <c r="BK97" s="28"/>
      <c r="BL97" s="28"/>
    </row>
    <row r="98" spans="1:64" ht="15.75" customHeight="1" x14ac:dyDescent="0.25">
      <c r="A98" s="29"/>
      <c r="B98" s="29"/>
      <c r="C98" s="161" t="s">
        <v>117</v>
      </c>
      <c r="D98" s="160" t="s">
        <v>187</v>
      </c>
      <c r="E98" s="23"/>
      <c r="F98" s="59">
        <f>177+67.47+108+766.26</f>
        <v>1118.73</v>
      </c>
      <c r="G98" s="59">
        <v>1118.73</v>
      </c>
      <c r="H98" s="100"/>
      <c r="I98" s="24">
        <f t="shared" si="98"/>
        <v>0</v>
      </c>
      <c r="J98" s="24">
        <f t="shared" si="98"/>
        <v>0</v>
      </c>
      <c r="K98" s="24">
        <f t="shared" si="98"/>
        <v>0</v>
      </c>
      <c r="L98" s="24">
        <f t="shared" si="99"/>
        <v>0</v>
      </c>
      <c r="M98" s="24">
        <f t="shared" si="99"/>
        <v>0</v>
      </c>
      <c r="N98" s="24">
        <f t="shared" si="99"/>
        <v>0</v>
      </c>
      <c r="O98" s="24">
        <f t="shared" si="100"/>
        <v>0</v>
      </c>
      <c r="P98" s="24">
        <f>F98-J98-G98</f>
        <v>0</v>
      </c>
      <c r="Q98" s="24">
        <f t="shared" si="101"/>
        <v>0</v>
      </c>
      <c r="R98" s="26" t="e">
        <f t="shared" si="96"/>
        <v>#DIV/0!</v>
      </c>
      <c r="S98" s="26">
        <f t="shared" si="96"/>
        <v>0</v>
      </c>
      <c r="T98" s="26" t="e">
        <f t="shared" si="102"/>
        <v>#DIV/0!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7"/>
      <c r="BI98" s="28"/>
      <c r="BJ98" s="28"/>
      <c r="BK98" s="28"/>
      <c r="BL98" s="28"/>
    </row>
    <row r="99" spans="1:64" ht="15.75" x14ac:dyDescent="0.25">
      <c r="A99" s="113"/>
      <c r="B99" s="113"/>
      <c r="C99" s="106"/>
      <c r="D99" s="107" t="s">
        <v>188</v>
      </c>
      <c r="E99" s="108">
        <f>SUM(E100:E100)</f>
        <v>0</v>
      </c>
      <c r="F99" s="108">
        <f>SUM(F100:F100)</f>
        <v>929.89</v>
      </c>
      <c r="G99" s="108"/>
      <c r="H99" s="108">
        <f>SUM(H100:H100)</f>
        <v>0</v>
      </c>
      <c r="I99" s="108">
        <f>SUM(I100:I100)</f>
        <v>0</v>
      </c>
      <c r="J99" s="108">
        <f>SUM(J100:J100)</f>
        <v>0</v>
      </c>
      <c r="K99" s="108">
        <f>SUM(K100:K100)</f>
        <v>0</v>
      </c>
      <c r="L99" s="129">
        <f t="shared" si="99"/>
        <v>0</v>
      </c>
      <c r="M99" s="129">
        <f t="shared" si="99"/>
        <v>0</v>
      </c>
      <c r="N99" s="129">
        <f t="shared" si="99"/>
        <v>0</v>
      </c>
      <c r="O99" s="108">
        <f>SUM(O100:O100)</f>
        <v>0</v>
      </c>
      <c r="P99" s="108">
        <f>SUM(P100:P100)</f>
        <v>929.89</v>
      </c>
      <c r="Q99" s="108">
        <f>SUM(Q100:Q100)</f>
        <v>0</v>
      </c>
      <c r="R99" s="130" t="e">
        <f t="shared" si="96"/>
        <v>#DIV/0!</v>
      </c>
      <c r="S99" s="130">
        <f t="shared" si="96"/>
        <v>0</v>
      </c>
      <c r="T99" s="130" t="e">
        <f>K99/H99</f>
        <v>#DIV/0!</v>
      </c>
      <c r="U99" s="108">
        <f>SUM(U100:U100)</f>
        <v>0</v>
      </c>
      <c r="V99" s="108">
        <f>SUM(V100:V100)</f>
        <v>0</v>
      </c>
      <c r="W99" s="108">
        <f>SUM(W100:W100)</f>
        <v>0</v>
      </c>
      <c r="X99" s="108">
        <f>SUM(X100:X100)</f>
        <v>0</v>
      </c>
      <c r="Y99" s="108">
        <f>SUM(Y100:Y100)</f>
        <v>0</v>
      </c>
      <c r="Z99" s="108">
        <f>SUM(Z100:Z100)</f>
        <v>0</v>
      </c>
      <c r="AA99" s="108">
        <f>SUM(AA100:AA100)</f>
        <v>0</v>
      </c>
      <c r="AB99" s="108">
        <f>SUM(AB100:AB100)</f>
        <v>0</v>
      </c>
      <c r="AC99" s="108">
        <f>SUM(AC100:AC100)</f>
        <v>0</v>
      </c>
      <c r="AD99" s="108">
        <f>SUM(AD100:AD100)</f>
        <v>0</v>
      </c>
      <c r="AE99" s="108">
        <f>SUM(AE100:AE100)</f>
        <v>0</v>
      </c>
      <c r="AF99" s="108">
        <f>SUM(AF100:AF100)</f>
        <v>0</v>
      </c>
      <c r="AG99" s="108">
        <f>SUM(AG100:AG100)</f>
        <v>0</v>
      </c>
      <c r="AH99" s="108">
        <f>SUM(AH100:AH100)</f>
        <v>0</v>
      </c>
      <c r="AI99" s="108">
        <f>SUM(AI100:AI100)</f>
        <v>0</v>
      </c>
      <c r="AJ99" s="108">
        <f>SUM(AJ100:AJ100)</f>
        <v>0</v>
      </c>
      <c r="AK99" s="108">
        <f>SUM(AK100:AK100)</f>
        <v>0</v>
      </c>
      <c r="AL99" s="108">
        <f>SUM(AL100:AL100)</f>
        <v>0</v>
      </c>
      <c r="AM99" s="108">
        <f>SUM(AM100:AM100)</f>
        <v>0</v>
      </c>
      <c r="AN99" s="108">
        <f>SUM(AN100:AN100)</f>
        <v>0</v>
      </c>
      <c r="AO99" s="108">
        <f>SUM(AO100:AO100)</f>
        <v>0</v>
      </c>
      <c r="AP99" s="108">
        <f>SUM(AP100:AP100)</f>
        <v>0</v>
      </c>
      <c r="AQ99" s="108">
        <f>SUM(AQ100:AQ100)</f>
        <v>0</v>
      </c>
      <c r="AR99" s="108">
        <f>SUM(AR100:AR100)</f>
        <v>0</v>
      </c>
      <c r="AS99" s="108">
        <f>SUM(AS100:AS100)</f>
        <v>0</v>
      </c>
      <c r="AT99" s="108">
        <f>SUM(AT100:AT100)</f>
        <v>0</v>
      </c>
      <c r="AU99" s="108">
        <f>SUM(AU100:AU100)</f>
        <v>0</v>
      </c>
      <c r="AV99" s="108">
        <f>SUM(AV100:AV100)</f>
        <v>0</v>
      </c>
      <c r="AW99" s="108">
        <f>SUM(AW100:AW100)</f>
        <v>0</v>
      </c>
      <c r="AX99" s="108">
        <f>SUM(AX100:AX100)</f>
        <v>0</v>
      </c>
      <c r="AY99" s="108">
        <f>SUM(AY100:AY100)</f>
        <v>0</v>
      </c>
      <c r="AZ99" s="108">
        <f>SUM(AZ100:AZ100)</f>
        <v>0</v>
      </c>
      <c r="BA99" s="108">
        <f>SUM(BA100:BA100)</f>
        <v>0</v>
      </c>
      <c r="BB99" s="108">
        <f>SUM(BB100:BB100)</f>
        <v>0</v>
      </c>
      <c r="BC99" s="108">
        <f>SUM(BC100:BC100)</f>
        <v>0</v>
      </c>
      <c r="BD99" s="108">
        <f>SUM(BD100:BD100)</f>
        <v>0</v>
      </c>
      <c r="BE99" s="108">
        <f>SUM(BE100:BE100)</f>
        <v>0</v>
      </c>
      <c r="BF99" s="108">
        <f>SUM(BF100:BF100)</f>
        <v>0</v>
      </c>
      <c r="BG99" s="108">
        <f>SUM(BG100:BG100)</f>
        <v>0</v>
      </c>
      <c r="BH99" s="110"/>
      <c r="BI99" s="111"/>
      <c r="BJ99" s="111"/>
      <c r="BK99" s="111"/>
      <c r="BL99" s="111"/>
    </row>
    <row r="100" spans="1:64" ht="15.75" customHeight="1" x14ac:dyDescent="0.25">
      <c r="A100" s="29"/>
      <c r="B100" s="55" t="s">
        <v>189</v>
      </c>
      <c r="C100" s="159" t="s">
        <v>126</v>
      </c>
      <c r="D100" s="168" t="s">
        <v>190</v>
      </c>
      <c r="E100" s="23"/>
      <c r="F100" s="59">
        <v>929.89</v>
      </c>
      <c r="G100" s="59"/>
      <c r="H100" s="100"/>
      <c r="I100" s="24">
        <f t="shared" ref="I100:K100" si="103">U100+X100+AA100+AD100+AG100+AJ100+AM100+AP100+AS100+AV100+AY100+BB100</f>
        <v>0</v>
      </c>
      <c r="J100" s="24">
        <f t="shared" si="103"/>
        <v>0</v>
      </c>
      <c r="K100" s="24">
        <f t="shared" si="103"/>
        <v>0</v>
      </c>
      <c r="L100" s="24">
        <f t="shared" si="99"/>
        <v>0</v>
      </c>
      <c r="M100" s="24">
        <f t="shared" si="99"/>
        <v>0</v>
      </c>
      <c r="N100" s="24">
        <f t="shared" si="99"/>
        <v>0</v>
      </c>
      <c r="O100" s="24">
        <f>E100-I100</f>
        <v>0</v>
      </c>
      <c r="P100" s="24">
        <f>F100-J100</f>
        <v>929.89</v>
      </c>
      <c r="Q100" s="24">
        <f t="shared" ref="Q100" si="104">H100-K100</f>
        <v>0</v>
      </c>
      <c r="R100" s="26" t="e">
        <f t="shared" si="96"/>
        <v>#DIV/0!</v>
      </c>
      <c r="S100" s="26">
        <f t="shared" si="96"/>
        <v>0</v>
      </c>
      <c r="T100" s="26" t="e">
        <f>K100/H100</f>
        <v>#DIV/0!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7"/>
      <c r="BI100" s="28"/>
      <c r="BJ100" s="28"/>
      <c r="BK100" s="28"/>
      <c r="BL100" s="28"/>
    </row>
    <row r="101" spans="1:64" ht="15.75" x14ac:dyDescent="0.25">
      <c r="A101" s="133"/>
      <c r="B101" s="133"/>
      <c r="C101" s="134"/>
      <c r="D101" s="135" t="s">
        <v>191</v>
      </c>
      <c r="E101" s="136">
        <f>SUM(E102:E102)</f>
        <v>0</v>
      </c>
      <c r="F101" s="136">
        <f>SUM(F102:F102)</f>
        <v>8583.0400000000009</v>
      </c>
      <c r="G101" s="136"/>
      <c r="H101" s="136">
        <f>SUM(H102:H102)</f>
        <v>0</v>
      </c>
      <c r="I101" s="136">
        <f>SUM(I102:I102)</f>
        <v>0</v>
      </c>
      <c r="J101" s="136">
        <f>SUM(J102:J102)</f>
        <v>6316</v>
      </c>
      <c r="K101" s="136">
        <f>SUM(K102:K102)</f>
        <v>0</v>
      </c>
      <c r="L101" s="112">
        <f t="shared" si="99"/>
        <v>0</v>
      </c>
      <c r="M101" s="112">
        <f t="shared" si="99"/>
        <v>6316</v>
      </c>
      <c r="N101" s="112">
        <f t="shared" si="99"/>
        <v>0</v>
      </c>
      <c r="O101" s="136">
        <f>SUM(O102:O102)</f>
        <v>0</v>
      </c>
      <c r="P101" s="136">
        <f>SUM(P102:P102)</f>
        <v>2267.0400000000009</v>
      </c>
      <c r="Q101" s="136">
        <f>SUM(Q102:Q102)</f>
        <v>0</v>
      </c>
      <c r="R101" s="137" t="e">
        <f t="shared" ref="R101:S102" si="105">I101/E101</f>
        <v>#DIV/0!</v>
      </c>
      <c r="S101" s="137">
        <f t="shared" si="105"/>
        <v>0.73586980836626648</v>
      </c>
      <c r="T101" s="137" t="e">
        <f t="shared" ref="T101:T102" si="106">K101/H101</f>
        <v>#DIV/0!</v>
      </c>
      <c r="U101" s="136">
        <f>SUM(U102:U102)</f>
        <v>0</v>
      </c>
      <c r="V101" s="136">
        <f>SUM(V102:V102)</f>
        <v>0</v>
      </c>
      <c r="W101" s="136">
        <f>SUM(W102:W102)</f>
        <v>0</v>
      </c>
      <c r="X101" s="136">
        <f>SUM(X102:X102)</f>
        <v>0</v>
      </c>
      <c r="Y101" s="136">
        <f>SUM(Y102:Y102)</f>
        <v>6316</v>
      </c>
      <c r="Z101" s="136">
        <f>SUM(Z102:Z102)</f>
        <v>0</v>
      </c>
      <c r="AA101" s="136">
        <f>SUM(AA102:AA102)</f>
        <v>0</v>
      </c>
      <c r="AB101" s="136">
        <f>SUM(AB102:AB102)</f>
        <v>0</v>
      </c>
      <c r="AC101" s="136">
        <f>SUM(AC102:AC102)</f>
        <v>0</v>
      </c>
      <c r="AD101" s="136">
        <f>SUM(AD102:AD102)</f>
        <v>0</v>
      </c>
      <c r="AE101" s="136">
        <f>SUM(AE102:AE102)</f>
        <v>0</v>
      </c>
      <c r="AF101" s="136">
        <f>SUM(AF102:AF102)</f>
        <v>0</v>
      </c>
      <c r="AG101" s="136">
        <f>SUM(AG102:AG102)</f>
        <v>0</v>
      </c>
      <c r="AH101" s="136">
        <f>SUM(AH102:AH102)</f>
        <v>0</v>
      </c>
      <c r="AI101" s="136">
        <f>SUM(AI102:AI102)</f>
        <v>0</v>
      </c>
      <c r="AJ101" s="136">
        <f>SUM(AJ102:AJ102)</f>
        <v>0</v>
      </c>
      <c r="AK101" s="136">
        <f>SUM(AK102:AK102)</f>
        <v>0</v>
      </c>
      <c r="AL101" s="136">
        <f>SUM(AL102:AL102)</f>
        <v>0</v>
      </c>
      <c r="AM101" s="136">
        <f>SUM(AM102:AM102)</f>
        <v>0</v>
      </c>
      <c r="AN101" s="136">
        <f>SUM(AN102:AN102)</f>
        <v>0</v>
      </c>
      <c r="AO101" s="136">
        <f>SUM(AO102:AO102)</f>
        <v>0</v>
      </c>
      <c r="AP101" s="136">
        <f>SUM(AP102:AP102)</f>
        <v>0</v>
      </c>
      <c r="AQ101" s="136">
        <f>SUM(AQ102:AQ102)</f>
        <v>0</v>
      </c>
      <c r="AR101" s="136">
        <f>SUM(AR102:AR102)</f>
        <v>0</v>
      </c>
      <c r="AS101" s="136">
        <f>SUM(AS102:AS102)</f>
        <v>0</v>
      </c>
      <c r="AT101" s="136">
        <f>SUM(AT102:AT102)</f>
        <v>0</v>
      </c>
      <c r="AU101" s="136">
        <f>SUM(AU102:AU102)</f>
        <v>0</v>
      </c>
      <c r="AV101" s="136">
        <f>SUM(AV102:AV102)</f>
        <v>0</v>
      </c>
      <c r="AW101" s="136">
        <f>SUM(AW102:AW102)</f>
        <v>0</v>
      </c>
      <c r="AX101" s="136">
        <f>SUM(AX102:AX102)</f>
        <v>0</v>
      </c>
      <c r="AY101" s="136">
        <f>SUM(AY102:AY102)</f>
        <v>0</v>
      </c>
      <c r="AZ101" s="136">
        <f>SUM(AZ102:AZ102)</f>
        <v>0</v>
      </c>
      <c r="BA101" s="136">
        <f>SUM(BA102:BA102)</f>
        <v>0</v>
      </c>
      <c r="BB101" s="136">
        <f>SUM(BB102:BB102)</f>
        <v>0</v>
      </c>
      <c r="BC101" s="136">
        <f>SUM(BC102:BC102)</f>
        <v>0</v>
      </c>
      <c r="BD101" s="136">
        <f>SUM(BD102:BD102)</f>
        <v>0</v>
      </c>
      <c r="BE101" s="136">
        <f>SUM(BE102:BE102)</f>
        <v>0</v>
      </c>
      <c r="BF101" s="136">
        <f>SUM(BF102:BF102)</f>
        <v>0</v>
      </c>
      <c r="BG101" s="136">
        <f>SUM(BG102:BG102)</f>
        <v>0</v>
      </c>
      <c r="BH101" s="110"/>
      <c r="BI101" s="111"/>
      <c r="BJ101" s="111"/>
      <c r="BK101" s="111"/>
      <c r="BL101" s="111"/>
    </row>
    <row r="102" spans="1:64" ht="15.75" customHeight="1" x14ac:dyDescent="0.25">
      <c r="A102" s="29"/>
      <c r="B102" s="55" t="s">
        <v>192</v>
      </c>
      <c r="C102" s="161" t="s">
        <v>128</v>
      </c>
      <c r="D102" s="160" t="s">
        <v>193</v>
      </c>
      <c r="E102" s="23"/>
      <c r="F102" s="59">
        <f>558+3202+552+358.04+2004+780+675+454</f>
        <v>8583.0400000000009</v>
      </c>
      <c r="G102" s="59"/>
      <c r="H102" s="132"/>
      <c r="I102" s="24">
        <f t="shared" ref="I102:K102" si="107">U102+X102+AA102+AD102+AG102+AJ102+AM102+AP102+AS102+AV102+AY102+BB102</f>
        <v>0</v>
      </c>
      <c r="J102" s="24">
        <f t="shared" si="107"/>
        <v>6316</v>
      </c>
      <c r="K102" s="24">
        <f t="shared" si="107"/>
        <v>0</v>
      </c>
      <c r="L102" s="24">
        <f t="shared" si="99"/>
        <v>0</v>
      </c>
      <c r="M102" s="24">
        <f t="shared" si="99"/>
        <v>6316</v>
      </c>
      <c r="N102" s="24">
        <f t="shared" si="99"/>
        <v>0</v>
      </c>
      <c r="O102" s="24">
        <f t="shared" ref="O102:P102" si="108">E102-I102</f>
        <v>0</v>
      </c>
      <c r="P102" s="24">
        <f t="shared" si="108"/>
        <v>2267.0400000000009</v>
      </c>
      <c r="Q102" s="24">
        <f t="shared" ref="Q102" si="109">H102-K102</f>
        <v>0</v>
      </c>
      <c r="R102" s="26" t="e">
        <f t="shared" si="105"/>
        <v>#DIV/0!</v>
      </c>
      <c r="S102" s="26">
        <f t="shared" si="105"/>
        <v>0.73586980836626648</v>
      </c>
      <c r="T102" s="26" t="e">
        <f t="shared" si="106"/>
        <v>#DIV/0!</v>
      </c>
      <c r="U102" s="22"/>
      <c r="V102" s="22"/>
      <c r="W102" s="22"/>
      <c r="X102" s="22"/>
      <c r="Y102" s="22">
        <f>2004+4312</f>
        <v>6316</v>
      </c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7"/>
      <c r="BI102" s="28"/>
      <c r="BJ102" s="28"/>
      <c r="BK102" s="28"/>
      <c r="BL102" s="28"/>
    </row>
    <row r="103" spans="1:64" ht="15.75" customHeight="1" x14ac:dyDescent="0.25">
      <c r="A103" s="138"/>
      <c r="B103" s="138"/>
      <c r="C103" s="139"/>
      <c r="D103" s="140"/>
      <c r="E103" s="141"/>
      <c r="F103" s="141"/>
      <c r="G103" s="141"/>
      <c r="H103" s="141"/>
      <c r="I103" s="141"/>
      <c r="J103" s="141"/>
      <c r="K103" s="141"/>
      <c r="L103" s="142"/>
      <c r="M103" s="142"/>
      <c r="N103" s="142"/>
      <c r="O103" s="141"/>
      <c r="P103" s="141"/>
      <c r="Q103" s="141"/>
      <c r="R103" s="141"/>
      <c r="S103" s="143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4"/>
      <c r="BI103" s="144"/>
      <c r="BJ103" s="144"/>
      <c r="BK103" s="144"/>
      <c r="BL103" s="144"/>
    </row>
    <row r="104" spans="1:64" ht="15.75" customHeight="1" x14ac:dyDescent="0.25">
      <c r="A104" s="148"/>
      <c r="B104" s="148"/>
      <c r="C104" s="149"/>
      <c r="D104" s="150"/>
      <c r="E104" s="151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6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</row>
    <row r="105" spans="1:64" ht="15.75" customHeight="1" x14ac:dyDescent="0.25">
      <c r="A105" s="148"/>
      <c r="B105" s="148"/>
      <c r="C105" s="149"/>
      <c r="D105" s="150"/>
      <c r="E105" s="151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6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</row>
    <row r="106" spans="1:64" ht="15.75" customHeight="1" x14ac:dyDescent="0.25">
      <c r="A106" s="147"/>
      <c r="B106" s="147"/>
      <c r="C106" s="152"/>
      <c r="D106" s="150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6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</row>
    <row r="107" spans="1:64" ht="15.75" customHeight="1" x14ac:dyDescent="0.25">
      <c r="S107" s="153"/>
    </row>
    <row r="108" spans="1:64" ht="15.75" customHeight="1" x14ac:dyDescent="0.25">
      <c r="S108" s="153"/>
    </row>
    <row r="109" spans="1:64" ht="15.75" customHeight="1" x14ac:dyDescent="0.25">
      <c r="S109" s="153"/>
    </row>
    <row r="110" spans="1:64" ht="15.75" customHeight="1" x14ac:dyDescent="0.25">
      <c r="S110" s="153"/>
    </row>
    <row r="111" spans="1:64" ht="15.75" customHeight="1" x14ac:dyDescent="0.25">
      <c r="S111" s="153"/>
    </row>
    <row r="112" spans="1:64" ht="15.75" customHeight="1" x14ac:dyDescent="0.25">
      <c r="S112" s="153"/>
    </row>
    <row r="113" spans="19:19" ht="15.75" customHeight="1" x14ac:dyDescent="0.25">
      <c r="S113" s="153"/>
    </row>
    <row r="114" spans="19:19" ht="15.75" customHeight="1" x14ac:dyDescent="0.25">
      <c r="S114" s="153"/>
    </row>
    <row r="115" spans="19:19" ht="15.75" customHeight="1" x14ac:dyDescent="0.25">
      <c r="S115" s="153"/>
    </row>
    <row r="116" spans="19:19" ht="15.75" customHeight="1" x14ac:dyDescent="0.25">
      <c r="S116" s="153"/>
    </row>
    <row r="117" spans="19:19" ht="15.75" customHeight="1" x14ac:dyDescent="0.25">
      <c r="S117" s="153"/>
    </row>
    <row r="118" spans="19:19" ht="15.75" customHeight="1" x14ac:dyDescent="0.25">
      <c r="S118" s="153"/>
    </row>
    <row r="119" spans="19:19" ht="15.75" customHeight="1" x14ac:dyDescent="0.25">
      <c r="S119" s="153"/>
    </row>
    <row r="120" spans="19:19" ht="15.75" customHeight="1" x14ac:dyDescent="0.25">
      <c r="S120" s="153"/>
    </row>
    <row r="121" spans="19:19" ht="15.75" customHeight="1" x14ac:dyDescent="0.25">
      <c r="S121" s="153"/>
    </row>
    <row r="122" spans="19:19" ht="15.75" customHeight="1" x14ac:dyDescent="0.25">
      <c r="S122" s="153"/>
    </row>
    <row r="123" spans="19:19" ht="15.75" customHeight="1" x14ac:dyDescent="0.25">
      <c r="S123" s="153"/>
    </row>
    <row r="124" spans="19:19" ht="15.75" customHeight="1" x14ac:dyDescent="0.25">
      <c r="S124" s="153"/>
    </row>
    <row r="125" spans="19:19" ht="15.75" customHeight="1" x14ac:dyDescent="0.25">
      <c r="S125" s="153"/>
    </row>
    <row r="126" spans="19:19" ht="15.75" customHeight="1" x14ac:dyDescent="0.25">
      <c r="S126" s="153"/>
    </row>
    <row r="127" spans="19:19" ht="15.75" customHeight="1" x14ac:dyDescent="0.25">
      <c r="S127" s="153"/>
    </row>
    <row r="128" spans="19:19" ht="15.75" customHeight="1" x14ac:dyDescent="0.25">
      <c r="S128" s="153"/>
    </row>
    <row r="129" spans="19:19" ht="15.75" customHeight="1" x14ac:dyDescent="0.25">
      <c r="S129" s="153"/>
    </row>
    <row r="130" spans="19:19" ht="15.75" customHeight="1" x14ac:dyDescent="0.25">
      <c r="S130" s="153"/>
    </row>
    <row r="131" spans="19:19" ht="15.75" customHeight="1" x14ac:dyDescent="0.25">
      <c r="S131" s="153"/>
    </row>
    <row r="132" spans="19:19" ht="15.75" customHeight="1" x14ac:dyDescent="0.25">
      <c r="S132" s="153"/>
    </row>
    <row r="133" spans="19:19" ht="15.75" customHeight="1" x14ac:dyDescent="0.25">
      <c r="S133" s="153"/>
    </row>
    <row r="134" spans="19:19" ht="15.75" customHeight="1" x14ac:dyDescent="0.25">
      <c r="S134" s="153"/>
    </row>
    <row r="135" spans="19:19" ht="15.75" customHeight="1" x14ac:dyDescent="0.25">
      <c r="S135" s="153"/>
    </row>
    <row r="136" spans="19:19" ht="15.75" customHeight="1" x14ac:dyDescent="0.25">
      <c r="S136" s="153"/>
    </row>
    <row r="137" spans="19:19" ht="15.75" customHeight="1" x14ac:dyDescent="0.25">
      <c r="S137" s="153"/>
    </row>
    <row r="138" spans="19:19" ht="15.75" customHeight="1" x14ac:dyDescent="0.25">
      <c r="S138" s="153"/>
    </row>
    <row r="139" spans="19:19" ht="15.75" customHeight="1" x14ac:dyDescent="0.25">
      <c r="S139" s="153"/>
    </row>
    <row r="140" spans="19:19" ht="15.75" customHeight="1" x14ac:dyDescent="0.25">
      <c r="S140" s="153"/>
    </row>
    <row r="141" spans="19:19" ht="15.75" customHeight="1" x14ac:dyDescent="0.25">
      <c r="S141" s="153"/>
    </row>
    <row r="142" spans="19:19" ht="15.75" customHeight="1" x14ac:dyDescent="0.25">
      <c r="S142" s="153"/>
    </row>
    <row r="143" spans="19:19" ht="15.75" customHeight="1" x14ac:dyDescent="0.25">
      <c r="S143" s="153"/>
    </row>
    <row r="144" spans="19:19" ht="15.75" customHeight="1" x14ac:dyDescent="0.25">
      <c r="S144" s="153"/>
    </row>
    <row r="145" spans="19:19" ht="15.75" customHeight="1" x14ac:dyDescent="0.25">
      <c r="S145" s="153"/>
    </row>
    <row r="146" spans="19:19" ht="15.75" customHeight="1" x14ac:dyDescent="0.25">
      <c r="S146" s="153"/>
    </row>
    <row r="147" spans="19:19" ht="15.75" customHeight="1" x14ac:dyDescent="0.25">
      <c r="S147" s="153"/>
    </row>
    <row r="148" spans="19:19" ht="15.75" customHeight="1" x14ac:dyDescent="0.25">
      <c r="S148" s="153"/>
    </row>
    <row r="149" spans="19:19" ht="15.75" customHeight="1" x14ac:dyDescent="0.25">
      <c r="S149" s="153"/>
    </row>
    <row r="150" spans="19:19" ht="15.75" customHeight="1" x14ac:dyDescent="0.25">
      <c r="S150" s="153"/>
    </row>
    <row r="151" spans="19:19" ht="15.75" customHeight="1" x14ac:dyDescent="0.25">
      <c r="S151" s="153"/>
    </row>
    <row r="152" spans="19:19" ht="15.75" customHeight="1" x14ac:dyDescent="0.25">
      <c r="S152" s="153"/>
    </row>
    <row r="153" spans="19:19" ht="15.75" customHeight="1" x14ac:dyDescent="0.25">
      <c r="S153" s="153"/>
    </row>
    <row r="154" spans="19:19" ht="15.75" customHeight="1" x14ac:dyDescent="0.25">
      <c r="S154" s="153"/>
    </row>
    <row r="155" spans="19:19" ht="15.75" customHeight="1" x14ac:dyDescent="0.25">
      <c r="S155" s="153"/>
    </row>
    <row r="156" spans="19:19" ht="15.75" customHeight="1" x14ac:dyDescent="0.25">
      <c r="S156" s="153"/>
    </row>
    <row r="157" spans="19:19" ht="15.75" customHeight="1" x14ac:dyDescent="0.25">
      <c r="S157" s="153"/>
    </row>
    <row r="158" spans="19:19" ht="15.75" customHeight="1" x14ac:dyDescent="0.25">
      <c r="S158" s="153"/>
    </row>
    <row r="159" spans="19:19" ht="15.75" customHeight="1" x14ac:dyDescent="0.25">
      <c r="S159" s="153"/>
    </row>
    <row r="160" spans="19:19" ht="15.75" customHeight="1" x14ac:dyDescent="0.25">
      <c r="S160" s="153"/>
    </row>
    <row r="161" spans="19:19" ht="15.75" customHeight="1" x14ac:dyDescent="0.25">
      <c r="S161" s="153"/>
    </row>
    <row r="162" spans="19:19" ht="15.75" customHeight="1" x14ac:dyDescent="0.25">
      <c r="S162" s="153"/>
    </row>
    <row r="163" spans="19:19" ht="15.75" customHeight="1" x14ac:dyDescent="0.25">
      <c r="S163" s="153"/>
    </row>
    <row r="164" spans="19:19" ht="15.75" customHeight="1" x14ac:dyDescent="0.25">
      <c r="S164" s="153"/>
    </row>
    <row r="165" spans="19:19" ht="15.75" customHeight="1" x14ac:dyDescent="0.25">
      <c r="S165" s="153"/>
    </row>
    <row r="166" spans="19:19" ht="15.75" customHeight="1" x14ac:dyDescent="0.25">
      <c r="S166" s="153"/>
    </row>
    <row r="167" spans="19:19" ht="15.75" customHeight="1" x14ac:dyDescent="0.25">
      <c r="S167" s="153"/>
    </row>
    <row r="168" spans="19:19" ht="15.75" customHeight="1" x14ac:dyDescent="0.25">
      <c r="S168" s="153"/>
    </row>
    <row r="169" spans="19:19" ht="15.75" customHeight="1" x14ac:dyDescent="0.25">
      <c r="S169" s="153"/>
    </row>
    <row r="170" spans="19:19" ht="15.75" customHeight="1" x14ac:dyDescent="0.25">
      <c r="S170" s="153"/>
    </row>
    <row r="171" spans="19:19" ht="15.75" customHeight="1" x14ac:dyDescent="0.25">
      <c r="S171" s="153"/>
    </row>
    <row r="172" spans="19:19" ht="15.75" customHeight="1" x14ac:dyDescent="0.25">
      <c r="S172" s="153"/>
    </row>
    <row r="173" spans="19:19" ht="15.75" customHeight="1" x14ac:dyDescent="0.25">
      <c r="S173" s="153"/>
    </row>
    <row r="174" spans="19:19" ht="15.75" customHeight="1" x14ac:dyDescent="0.25">
      <c r="S174" s="153"/>
    </row>
    <row r="175" spans="19:19" ht="15.75" customHeight="1" x14ac:dyDescent="0.25">
      <c r="S175" s="153"/>
    </row>
    <row r="176" spans="19:19" ht="15.75" customHeight="1" x14ac:dyDescent="0.25">
      <c r="S176" s="153"/>
    </row>
    <row r="177" spans="19:19" ht="15.75" customHeight="1" x14ac:dyDescent="0.25">
      <c r="S177" s="153"/>
    </row>
    <row r="178" spans="19:19" ht="15.75" customHeight="1" x14ac:dyDescent="0.25">
      <c r="S178" s="153"/>
    </row>
    <row r="179" spans="19:19" ht="15.75" customHeight="1" x14ac:dyDescent="0.25">
      <c r="S179" s="153"/>
    </row>
    <row r="180" spans="19:19" ht="15.75" customHeight="1" x14ac:dyDescent="0.25">
      <c r="S180" s="153"/>
    </row>
    <row r="181" spans="19:19" ht="15.75" customHeight="1" x14ac:dyDescent="0.25">
      <c r="S181" s="153"/>
    </row>
    <row r="182" spans="19:19" ht="15.75" customHeight="1" x14ac:dyDescent="0.25">
      <c r="S182" s="153"/>
    </row>
    <row r="183" spans="19:19" ht="15.75" customHeight="1" x14ac:dyDescent="0.25">
      <c r="S183" s="153"/>
    </row>
    <row r="184" spans="19:19" ht="15.75" customHeight="1" x14ac:dyDescent="0.25">
      <c r="S184" s="153"/>
    </row>
    <row r="185" spans="19:19" ht="15.75" customHeight="1" x14ac:dyDescent="0.25">
      <c r="S185" s="153"/>
    </row>
    <row r="186" spans="19:19" ht="15.75" customHeight="1" x14ac:dyDescent="0.25">
      <c r="S186" s="153"/>
    </row>
    <row r="187" spans="19:19" ht="15.75" customHeight="1" x14ac:dyDescent="0.25">
      <c r="S187" s="153"/>
    </row>
    <row r="188" spans="19:19" ht="15.75" customHeight="1" x14ac:dyDescent="0.25">
      <c r="S188" s="153"/>
    </row>
    <row r="189" spans="19:19" ht="15.75" customHeight="1" x14ac:dyDescent="0.25">
      <c r="S189" s="153"/>
    </row>
    <row r="190" spans="19:19" ht="15.75" customHeight="1" x14ac:dyDescent="0.25">
      <c r="S190" s="153"/>
    </row>
    <row r="191" spans="19:19" ht="15.75" customHeight="1" x14ac:dyDescent="0.25">
      <c r="S191" s="153"/>
    </row>
    <row r="192" spans="19:19" ht="15.75" customHeight="1" x14ac:dyDescent="0.25">
      <c r="S192" s="153"/>
    </row>
    <row r="193" spans="19:19" ht="15.75" customHeight="1" x14ac:dyDescent="0.25">
      <c r="S193" s="153"/>
    </row>
    <row r="194" spans="19:19" ht="15.75" customHeight="1" x14ac:dyDescent="0.25">
      <c r="S194" s="153"/>
    </row>
    <row r="195" spans="19:19" ht="15.75" customHeight="1" x14ac:dyDescent="0.25">
      <c r="S195" s="153"/>
    </row>
    <row r="196" spans="19:19" ht="15.75" customHeight="1" x14ac:dyDescent="0.25">
      <c r="S196" s="153"/>
    </row>
    <row r="197" spans="19:19" ht="15.75" customHeight="1" x14ac:dyDescent="0.25">
      <c r="S197" s="153"/>
    </row>
    <row r="198" spans="19:19" ht="15.75" customHeight="1" x14ac:dyDescent="0.25">
      <c r="S198" s="153"/>
    </row>
    <row r="199" spans="19:19" ht="15.75" customHeight="1" x14ac:dyDescent="0.25">
      <c r="S199" s="153"/>
    </row>
    <row r="200" spans="19:19" ht="15.75" customHeight="1" x14ac:dyDescent="0.25">
      <c r="S200" s="153"/>
    </row>
    <row r="201" spans="19:19" ht="15.75" customHeight="1" x14ac:dyDescent="0.25">
      <c r="S201" s="153"/>
    </row>
    <row r="202" spans="19:19" ht="15.75" customHeight="1" x14ac:dyDescent="0.25">
      <c r="S202" s="153"/>
    </row>
    <row r="203" spans="19:19" ht="15.75" customHeight="1" x14ac:dyDescent="0.25">
      <c r="S203" s="153"/>
    </row>
    <row r="204" spans="19:19" ht="15.75" customHeight="1" x14ac:dyDescent="0.25">
      <c r="S204" s="153"/>
    </row>
    <row r="205" spans="19:19" ht="15.75" customHeight="1" x14ac:dyDescent="0.25">
      <c r="S205" s="153"/>
    </row>
    <row r="206" spans="19:19" ht="15.75" customHeight="1" x14ac:dyDescent="0.25">
      <c r="S206" s="153"/>
    </row>
    <row r="207" spans="19:19" ht="15.75" customHeight="1" x14ac:dyDescent="0.25">
      <c r="S207" s="153"/>
    </row>
    <row r="208" spans="19:19" ht="15.75" customHeight="1" x14ac:dyDescent="0.25">
      <c r="S208" s="153"/>
    </row>
    <row r="209" spans="19:19" ht="15.75" customHeight="1" x14ac:dyDescent="0.25">
      <c r="S209" s="153"/>
    </row>
    <row r="210" spans="19:19" ht="15.75" customHeight="1" x14ac:dyDescent="0.25">
      <c r="S210" s="153"/>
    </row>
    <row r="211" spans="19:19" ht="15.75" customHeight="1" x14ac:dyDescent="0.25">
      <c r="S211" s="153"/>
    </row>
    <row r="212" spans="19:19" ht="15.75" customHeight="1" x14ac:dyDescent="0.25">
      <c r="S212" s="153"/>
    </row>
    <row r="213" spans="19:19" ht="15.75" customHeight="1" x14ac:dyDescent="0.25">
      <c r="S213" s="153"/>
    </row>
    <row r="214" spans="19:19" ht="15.75" customHeight="1" x14ac:dyDescent="0.25">
      <c r="S214" s="153"/>
    </row>
    <row r="215" spans="19:19" ht="15.75" customHeight="1" x14ac:dyDescent="0.25">
      <c r="S215" s="153"/>
    </row>
    <row r="216" spans="19:19" ht="15.75" customHeight="1" x14ac:dyDescent="0.25">
      <c r="S216" s="153"/>
    </row>
    <row r="217" spans="19:19" ht="15.75" customHeight="1" x14ac:dyDescent="0.25">
      <c r="S217" s="153"/>
    </row>
    <row r="218" spans="19:19" ht="15.75" customHeight="1" x14ac:dyDescent="0.25">
      <c r="S218" s="153"/>
    </row>
    <row r="219" spans="19:19" ht="15.75" customHeight="1" x14ac:dyDescent="0.25">
      <c r="S219" s="153"/>
    </row>
    <row r="220" spans="19:19" ht="15.75" customHeight="1" x14ac:dyDescent="0.25">
      <c r="S220" s="153"/>
    </row>
    <row r="221" spans="19:19" ht="15.75" customHeight="1" x14ac:dyDescent="0.25">
      <c r="S221" s="153"/>
    </row>
    <row r="222" spans="19:19" ht="15.75" customHeight="1" x14ac:dyDescent="0.25">
      <c r="S222" s="153"/>
    </row>
    <row r="223" spans="19:19" ht="15.75" customHeight="1" x14ac:dyDescent="0.25">
      <c r="S223" s="153"/>
    </row>
    <row r="224" spans="19:19" ht="15.75" customHeight="1" x14ac:dyDescent="0.25">
      <c r="S224" s="153"/>
    </row>
    <row r="225" spans="19:19" ht="15.75" customHeight="1" x14ac:dyDescent="0.25">
      <c r="S225" s="153"/>
    </row>
    <row r="226" spans="19:19" ht="15.75" customHeight="1" x14ac:dyDescent="0.25">
      <c r="S226" s="153"/>
    </row>
    <row r="227" spans="19:19" ht="15.75" customHeight="1" x14ac:dyDescent="0.25">
      <c r="S227" s="153"/>
    </row>
    <row r="228" spans="19:19" ht="15.75" customHeight="1" x14ac:dyDescent="0.25">
      <c r="S228" s="153"/>
    </row>
    <row r="229" spans="19:19" ht="15.75" customHeight="1" x14ac:dyDescent="0.25">
      <c r="S229" s="153"/>
    </row>
    <row r="230" spans="19:19" ht="15.75" customHeight="1" x14ac:dyDescent="0.25">
      <c r="S230" s="153"/>
    </row>
    <row r="231" spans="19:19" ht="15.75" customHeight="1" x14ac:dyDescent="0.25">
      <c r="S231" s="153"/>
    </row>
    <row r="232" spans="19:19" ht="15.75" customHeight="1" x14ac:dyDescent="0.25">
      <c r="S232" s="153"/>
    </row>
    <row r="233" spans="19:19" ht="15.75" customHeight="1" x14ac:dyDescent="0.25">
      <c r="S233" s="153"/>
    </row>
    <row r="234" spans="19:19" ht="15.75" customHeight="1" x14ac:dyDescent="0.25">
      <c r="S234" s="153"/>
    </row>
    <row r="235" spans="19:19" ht="15.75" customHeight="1" x14ac:dyDescent="0.25">
      <c r="S235" s="153"/>
    </row>
    <row r="236" spans="19:19" ht="15.75" customHeight="1" x14ac:dyDescent="0.25">
      <c r="S236" s="153"/>
    </row>
    <row r="237" spans="19:19" ht="15.75" customHeight="1" x14ac:dyDescent="0.25">
      <c r="S237" s="153"/>
    </row>
    <row r="238" spans="19:19" ht="15.75" customHeight="1" x14ac:dyDescent="0.25">
      <c r="S238" s="153"/>
    </row>
    <row r="239" spans="19:19" ht="15.75" customHeight="1" x14ac:dyDescent="0.25">
      <c r="S239" s="153"/>
    </row>
    <row r="240" spans="19:19" ht="15.75" customHeight="1" x14ac:dyDescent="0.25">
      <c r="S240" s="153"/>
    </row>
    <row r="241" spans="19:19" ht="15.75" customHeight="1" x14ac:dyDescent="0.25">
      <c r="S241" s="153"/>
    </row>
    <row r="242" spans="19:19" ht="15.75" customHeight="1" x14ac:dyDescent="0.25">
      <c r="S242" s="153"/>
    </row>
    <row r="243" spans="19:19" ht="15.75" customHeight="1" x14ac:dyDescent="0.25">
      <c r="S243" s="153"/>
    </row>
    <row r="244" spans="19:19" ht="15.75" customHeight="1" x14ac:dyDescent="0.25">
      <c r="S244" s="153"/>
    </row>
    <row r="245" spans="19:19" ht="15.75" customHeight="1" x14ac:dyDescent="0.25">
      <c r="S245" s="153"/>
    </row>
    <row r="246" spans="19:19" ht="15.75" customHeight="1" x14ac:dyDescent="0.25">
      <c r="S246" s="153"/>
    </row>
    <row r="247" spans="19:19" ht="15.75" customHeight="1" x14ac:dyDescent="0.25">
      <c r="S247" s="153"/>
    </row>
    <row r="248" spans="19:19" ht="15.75" customHeight="1" x14ac:dyDescent="0.25">
      <c r="S248" s="153"/>
    </row>
    <row r="249" spans="19:19" ht="15.75" customHeight="1" x14ac:dyDescent="0.25">
      <c r="S249" s="153"/>
    </row>
    <row r="250" spans="19:19" ht="15.75" customHeight="1" x14ac:dyDescent="0.25">
      <c r="S250" s="153"/>
    </row>
    <row r="251" spans="19:19" ht="15.75" customHeight="1" x14ac:dyDescent="0.25">
      <c r="S251" s="153"/>
    </row>
    <row r="252" spans="19:19" ht="15.75" customHeight="1" x14ac:dyDescent="0.25">
      <c r="S252" s="153"/>
    </row>
    <row r="253" spans="19:19" ht="15.75" customHeight="1" x14ac:dyDescent="0.25">
      <c r="S253" s="153"/>
    </row>
    <row r="254" spans="19:19" ht="15.75" customHeight="1" x14ac:dyDescent="0.25">
      <c r="S254" s="153"/>
    </row>
    <row r="255" spans="19:19" ht="15.75" customHeight="1" x14ac:dyDescent="0.25">
      <c r="S255" s="153"/>
    </row>
    <row r="256" spans="19:19" ht="15.75" customHeight="1" x14ac:dyDescent="0.25">
      <c r="S256" s="153"/>
    </row>
    <row r="257" spans="19:19" ht="15.75" customHeight="1" x14ac:dyDescent="0.25">
      <c r="S257" s="153"/>
    </row>
    <row r="258" spans="19:19" ht="15.75" customHeight="1" x14ac:dyDescent="0.25">
      <c r="S258" s="153"/>
    </row>
    <row r="259" spans="19:19" ht="15.75" customHeight="1" x14ac:dyDescent="0.25">
      <c r="S259" s="153"/>
    </row>
    <row r="260" spans="19:19" ht="15.75" customHeight="1" x14ac:dyDescent="0.25">
      <c r="S260" s="153"/>
    </row>
    <row r="261" spans="19:19" ht="15.75" customHeight="1" x14ac:dyDescent="0.25">
      <c r="S261" s="153"/>
    </row>
    <row r="262" spans="19:19" ht="15.75" customHeight="1" x14ac:dyDescent="0.25">
      <c r="S262" s="153"/>
    </row>
    <row r="263" spans="19:19" ht="15.75" customHeight="1" x14ac:dyDescent="0.25">
      <c r="S263" s="153"/>
    </row>
    <row r="264" spans="19:19" ht="15.75" customHeight="1" x14ac:dyDescent="0.25">
      <c r="S264" s="153"/>
    </row>
    <row r="265" spans="19:19" ht="15.75" customHeight="1" x14ac:dyDescent="0.25">
      <c r="S265" s="153"/>
    </row>
    <row r="266" spans="19:19" ht="15.75" customHeight="1" x14ac:dyDescent="0.25">
      <c r="S266" s="153"/>
    </row>
    <row r="267" spans="19:19" ht="15.75" customHeight="1" x14ac:dyDescent="0.25">
      <c r="S267" s="153"/>
    </row>
    <row r="268" spans="19:19" ht="15.75" customHeight="1" x14ac:dyDescent="0.25">
      <c r="S268" s="153"/>
    </row>
    <row r="269" spans="19:19" ht="15.75" customHeight="1" x14ac:dyDescent="0.25">
      <c r="S269" s="153"/>
    </row>
    <row r="270" spans="19:19" ht="15.75" customHeight="1" x14ac:dyDescent="0.25">
      <c r="S270" s="153"/>
    </row>
    <row r="271" spans="19:19" ht="15.75" customHeight="1" x14ac:dyDescent="0.25">
      <c r="S271" s="153"/>
    </row>
    <row r="272" spans="19:19" ht="15.75" customHeight="1" x14ac:dyDescent="0.25">
      <c r="S272" s="153"/>
    </row>
    <row r="273" spans="19:19" ht="15.75" customHeight="1" x14ac:dyDescent="0.25">
      <c r="S273" s="153"/>
    </row>
    <row r="274" spans="19:19" ht="15.75" customHeight="1" x14ac:dyDescent="0.25">
      <c r="S274" s="153"/>
    </row>
    <row r="275" spans="19:19" ht="15.75" customHeight="1" x14ac:dyDescent="0.25">
      <c r="S275" s="153"/>
    </row>
    <row r="276" spans="19:19" ht="15.75" customHeight="1" x14ac:dyDescent="0.25">
      <c r="S276" s="153"/>
    </row>
    <row r="277" spans="19:19" ht="15.75" customHeight="1" x14ac:dyDescent="0.25">
      <c r="S277" s="153"/>
    </row>
    <row r="278" spans="19:19" ht="15.75" customHeight="1" x14ac:dyDescent="0.25">
      <c r="S278" s="153"/>
    </row>
    <row r="279" spans="19:19" ht="15.75" customHeight="1" x14ac:dyDescent="0.25">
      <c r="S279" s="153"/>
    </row>
    <row r="280" spans="19:19" ht="15.75" customHeight="1" x14ac:dyDescent="0.25">
      <c r="S280" s="153"/>
    </row>
    <row r="281" spans="19:19" ht="15.75" customHeight="1" x14ac:dyDescent="0.25">
      <c r="S281" s="153"/>
    </row>
    <row r="282" spans="19:19" ht="15.75" customHeight="1" x14ac:dyDescent="0.25">
      <c r="S282" s="153"/>
    </row>
    <row r="283" spans="19:19" ht="15.75" customHeight="1" x14ac:dyDescent="0.25">
      <c r="S283" s="153"/>
    </row>
    <row r="284" spans="19:19" ht="15.75" customHeight="1" x14ac:dyDescent="0.25">
      <c r="S284" s="153"/>
    </row>
    <row r="285" spans="19:19" ht="15.75" customHeight="1" x14ac:dyDescent="0.25">
      <c r="S285" s="153"/>
    </row>
    <row r="286" spans="19:19" ht="15.75" customHeight="1" x14ac:dyDescent="0.25">
      <c r="S286" s="153"/>
    </row>
    <row r="287" spans="19:19" ht="15.75" customHeight="1" x14ac:dyDescent="0.25">
      <c r="S287" s="153"/>
    </row>
    <row r="288" spans="19:19" ht="15.75" customHeight="1" x14ac:dyDescent="0.25">
      <c r="S288" s="153"/>
    </row>
    <row r="289" spans="19:19" ht="15.75" customHeight="1" x14ac:dyDescent="0.25">
      <c r="S289" s="153"/>
    </row>
    <row r="290" spans="19:19" ht="15.75" customHeight="1" x14ac:dyDescent="0.25">
      <c r="S290" s="153"/>
    </row>
    <row r="291" spans="19:19" ht="15.75" customHeight="1" x14ac:dyDescent="0.25">
      <c r="S291" s="153"/>
    </row>
    <row r="292" spans="19:19" ht="15.75" customHeight="1" x14ac:dyDescent="0.25">
      <c r="S292" s="153"/>
    </row>
    <row r="293" spans="19:19" ht="15.75" customHeight="1" x14ac:dyDescent="0.25">
      <c r="S293" s="153"/>
    </row>
    <row r="294" spans="19:19" ht="15.75" customHeight="1" x14ac:dyDescent="0.25">
      <c r="S294" s="153"/>
    </row>
    <row r="295" spans="19:19" ht="15.75" customHeight="1" x14ac:dyDescent="0.25">
      <c r="S295" s="153"/>
    </row>
    <row r="296" spans="19:19" ht="15.75" customHeight="1" x14ac:dyDescent="0.25">
      <c r="S296" s="153"/>
    </row>
    <row r="297" spans="19:19" ht="15.75" customHeight="1" x14ac:dyDescent="0.25">
      <c r="S297" s="153"/>
    </row>
    <row r="298" spans="19:19" ht="15.75" customHeight="1" x14ac:dyDescent="0.25">
      <c r="S298" s="153"/>
    </row>
    <row r="299" spans="19:19" ht="15.75" customHeight="1" x14ac:dyDescent="0.25">
      <c r="S299" s="153"/>
    </row>
    <row r="300" spans="19:19" ht="15.75" customHeight="1" x14ac:dyDescent="0.25">
      <c r="S300" s="153"/>
    </row>
    <row r="301" spans="19:19" ht="15.75" customHeight="1" x14ac:dyDescent="0.25">
      <c r="S301" s="153"/>
    </row>
    <row r="302" spans="19:19" ht="15.75" customHeight="1" x14ac:dyDescent="0.25">
      <c r="S302" s="153"/>
    </row>
    <row r="303" spans="19:19" ht="15.75" customHeight="1" x14ac:dyDescent="0.25">
      <c r="S303" s="153"/>
    </row>
    <row r="304" spans="19:19" ht="15.75" customHeight="1" x14ac:dyDescent="0.25">
      <c r="S304" s="153"/>
    </row>
    <row r="305" spans="19:19" ht="15.75" customHeight="1" x14ac:dyDescent="0.25">
      <c r="S305" s="153"/>
    </row>
    <row r="306" spans="19:19" ht="15.75" customHeight="1" x14ac:dyDescent="0.25">
      <c r="S306" s="153"/>
    </row>
    <row r="307" spans="19:19" ht="15.75" customHeight="1" x14ac:dyDescent="0.25">
      <c r="S307" s="153"/>
    </row>
    <row r="308" spans="19:19" ht="15.75" customHeight="1" x14ac:dyDescent="0.25">
      <c r="S308" s="153"/>
    </row>
    <row r="309" spans="19:19" ht="15.75" customHeight="1" x14ac:dyDescent="0.25">
      <c r="S309" s="153"/>
    </row>
    <row r="310" spans="19:19" ht="15.75" customHeight="1" x14ac:dyDescent="0.25">
      <c r="S310" s="153"/>
    </row>
    <row r="311" spans="19:19" ht="15.75" customHeight="1" x14ac:dyDescent="0.25">
      <c r="S311" s="153"/>
    </row>
    <row r="312" spans="19:19" ht="15.75" customHeight="1" x14ac:dyDescent="0.25">
      <c r="S312" s="153"/>
    </row>
    <row r="313" spans="19:19" ht="15.75" customHeight="1" x14ac:dyDescent="0.25">
      <c r="S313" s="153"/>
    </row>
    <row r="314" spans="19:19" ht="15.75" customHeight="1" x14ac:dyDescent="0.25">
      <c r="S314" s="153"/>
    </row>
    <row r="315" spans="19:19" ht="15.75" customHeight="1" x14ac:dyDescent="0.25">
      <c r="S315" s="153"/>
    </row>
    <row r="316" spans="19:19" ht="15.75" customHeight="1" x14ac:dyDescent="0.25">
      <c r="S316" s="153"/>
    </row>
    <row r="317" spans="19:19" ht="15.75" customHeight="1" x14ac:dyDescent="0.25">
      <c r="S317" s="153"/>
    </row>
    <row r="318" spans="19:19" ht="15.75" customHeight="1" x14ac:dyDescent="0.25">
      <c r="S318" s="153"/>
    </row>
    <row r="319" spans="19:19" ht="15.75" customHeight="1" x14ac:dyDescent="0.25">
      <c r="S319" s="153"/>
    </row>
    <row r="320" spans="19:19" ht="15.75" customHeight="1" x14ac:dyDescent="0.25">
      <c r="S320" s="153"/>
    </row>
    <row r="321" spans="19:19" ht="15.75" customHeight="1" x14ac:dyDescent="0.25">
      <c r="S321" s="153"/>
    </row>
    <row r="322" spans="19:19" ht="15.75" customHeight="1" x14ac:dyDescent="0.25">
      <c r="S322" s="153"/>
    </row>
    <row r="323" spans="19:19" ht="15.75" customHeight="1" x14ac:dyDescent="0.25">
      <c r="S323" s="153"/>
    </row>
    <row r="324" spans="19:19" ht="15.75" customHeight="1" x14ac:dyDescent="0.25">
      <c r="S324" s="153"/>
    </row>
    <row r="325" spans="19:19" ht="15.75" customHeight="1" x14ac:dyDescent="0.25">
      <c r="S325" s="153"/>
    </row>
    <row r="326" spans="19:19" ht="15.75" customHeight="1" x14ac:dyDescent="0.25">
      <c r="S326" s="153"/>
    </row>
    <row r="327" spans="19:19" ht="15.75" customHeight="1" x14ac:dyDescent="0.25">
      <c r="S327" s="153"/>
    </row>
    <row r="328" spans="19:19" ht="15.75" customHeight="1" x14ac:dyDescent="0.25">
      <c r="S328" s="153"/>
    </row>
    <row r="329" spans="19:19" ht="15.75" customHeight="1" x14ac:dyDescent="0.25">
      <c r="S329" s="153"/>
    </row>
    <row r="330" spans="19:19" ht="15.75" customHeight="1" x14ac:dyDescent="0.25">
      <c r="S330" s="153"/>
    </row>
    <row r="331" spans="19:19" ht="15.75" customHeight="1" x14ac:dyDescent="0.25">
      <c r="S331" s="153"/>
    </row>
    <row r="332" spans="19:19" ht="15.75" customHeight="1" x14ac:dyDescent="0.25">
      <c r="S332" s="153"/>
    </row>
    <row r="333" spans="19:19" ht="15.75" customHeight="1" x14ac:dyDescent="0.25">
      <c r="S333" s="153"/>
    </row>
    <row r="334" spans="19:19" ht="15.75" customHeight="1" x14ac:dyDescent="0.25">
      <c r="S334" s="153"/>
    </row>
    <row r="335" spans="19:19" ht="15.75" customHeight="1" x14ac:dyDescent="0.25">
      <c r="S335" s="153"/>
    </row>
    <row r="336" spans="19:19" ht="15.75" customHeight="1" x14ac:dyDescent="0.25">
      <c r="S336" s="153"/>
    </row>
    <row r="337" spans="19:19" ht="15.75" customHeight="1" x14ac:dyDescent="0.25">
      <c r="S337" s="153"/>
    </row>
    <row r="338" spans="19:19" ht="15.75" customHeight="1" x14ac:dyDescent="0.25">
      <c r="S338" s="153"/>
    </row>
    <row r="339" spans="19:19" ht="15.75" customHeight="1" x14ac:dyDescent="0.25">
      <c r="S339" s="153"/>
    </row>
    <row r="340" spans="19:19" ht="15.75" customHeight="1" x14ac:dyDescent="0.25">
      <c r="S340" s="153"/>
    </row>
    <row r="341" spans="19:19" ht="15.75" customHeight="1" x14ac:dyDescent="0.25">
      <c r="S341" s="153"/>
    </row>
    <row r="342" spans="19:19" ht="15.75" customHeight="1" x14ac:dyDescent="0.25">
      <c r="S342" s="153"/>
    </row>
    <row r="343" spans="19:19" ht="15.75" customHeight="1" x14ac:dyDescent="0.25">
      <c r="S343" s="153"/>
    </row>
    <row r="344" spans="19:19" ht="15.75" customHeight="1" x14ac:dyDescent="0.25">
      <c r="S344" s="153"/>
    </row>
    <row r="345" spans="19:19" ht="15.75" customHeight="1" x14ac:dyDescent="0.25">
      <c r="S345" s="153"/>
    </row>
    <row r="346" spans="19:19" ht="15.75" customHeight="1" x14ac:dyDescent="0.25">
      <c r="S346" s="153"/>
    </row>
    <row r="347" spans="19:19" ht="15.75" customHeight="1" x14ac:dyDescent="0.25">
      <c r="S347" s="153"/>
    </row>
    <row r="348" spans="19:19" ht="15.75" customHeight="1" x14ac:dyDescent="0.25">
      <c r="S348" s="153"/>
    </row>
    <row r="349" spans="19:19" ht="15.75" customHeight="1" x14ac:dyDescent="0.25">
      <c r="S349" s="153"/>
    </row>
    <row r="350" spans="19:19" ht="15.75" customHeight="1" x14ac:dyDescent="0.25">
      <c r="S350" s="153"/>
    </row>
    <row r="351" spans="19:19" ht="15.75" customHeight="1" x14ac:dyDescent="0.25">
      <c r="S351" s="153"/>
    </row>
    <row r="352" spans="19:19" ht="15.75" customHeight="1" x14ac:dyDescent="0.25">
      <c r="S352" s="153"/>
    </row>
    <row r="353" spans="19:19" ht="15.75" customHeight="1" x14ac:dyDescent="0.25">
      <c r="S353" s="153"/>
    </row>
    <row r="354" spans="19:19" ht="15.75" customHeight="1" x14ac:dyDescent="0.25">
      <c r="S354" s="153"/>
    </row>
    <row r="355" spans="19:19" ht="15.75" customHeight="1" x14ac:dyDescent="0.25">
      <c r="S355" s="153"/>
    </row>
    <row r="356" spans="19:19" ht="15.75" customHeight="1" x14ac:dyDescent="0.25">
      <c r="S356" s="153"/>
    </row>
    <row r="357" spans="19:19" ht="15.75" customHeight="1" x14ac:dyDescent="0.25">
      <c r="S357" s="153"/>
    </row>
    <row r="358" spans="19:19" ht="15.75" customHeight="1" x14ac:dyDescent="0.25">
      <c r="S358" s="153"/>
    </row>
    <row r="359" spans="19:19" ht="15.75" customHeight="1" x14ac:dyDescent="0.25">
      <c r="S359" s="153"/>
    </row>
    <row r="360" spans="19:19" ht="15.75" customHeight="1" x14ac:dyDescent="0.25">
      <c r="S360" s="153"/>
    </row>
    <row r="361" spans="19:19" ht="15.75" customHeight="1" x14ac:dyDescent="0.25">
      <c r="S361" s="153"/>
    </row>
    <row r="362" spans="19:19" ht="15.75" customHeight="1" x14ac:dyDescent="0.25">
      <c r="S362" s="153"/>
    </row>
    <row r="363" spans="19:19" ht="15.75" customHeight="1" x14ac:dyDescent="0.25">
      <c r="S363" s="153"/>
    </row>
    <row r="364" spans="19:19" ht="15.75" customHeight="1" x14ac:dyDescent="0.25">
      <c r="S364" s="153"/>
    </row>
    <row r="365" spans="19:19" ht="15.75" customHeight="1" x14ac:dyDescent="0.25">
      <c r="S365" s="153"/>
    </row>
    <row r="366" spans="19:19" ht="15.75" customHeight="1" x14ac:dyDescent="0.25">
      <c r="S366" s="153"/>
    </row>
    <row r="367" spans="19:19" ht="15.75" customHeight="1" x14ac:dyDescent="0.25">
      <c r="S367" s="153"/>
    </row>
    <row r="368" spans="19:19" ht="15.75" customHeight="1" x14ac:dyDescent="0.25">
      <c r="S368" s="153"/>
    </row>
    <row r="369" spans="19:19" ht="15.75" customHeight="1" x14ac:dyDescent="0.25">
      <c r="S369" s="153"/>
    </row>
    <row r="370" spans="19:19" ht="15.75" customHeight="1" x14ac:dyDescent="0.25">
      <c r="S370" s="153"/>
    </row>
    <row r="371" spans="19:19" ht="15.75" customHeight="1" x14ac:dyDescent="0.25">
      <c r="S371" s="153"/>
    </row>
    <row r="372" spans="19:19" ht="15.75" customHeight="1" x14ac:dyDescent="0.25">
      <c r="S372" s="153"/>
    </row>
    <row r="373" spans="19:19" ht="15.75" customHeight="1" x14ac:dyDescent="0.25">
      <c r="S373" s="153"/>
    </row>
    <row r="374" spans="19:19" ht="15.75" customHeight="1" x14ac:dyDescent="0.25">
      <c r="S374" s="153"/>
    </row>
    <row r="375" spans="19:19" ht="15.75" customHeight="1" x14ac:dyDescent="0.25">
      <c r="S375" s="153"/>
    </row>
    <row r="376" spans="19:19" ht="15.75" customHeight="1" x14ac:dyDescent="0.25">
      <c r="S376" s="153"/>
    </row>
    <row r="377" spans="19:19" ht="15.75" customHeight="1" x14ac:dyDescent="0.25">
      <c r="S377" s="153"/>
    </row>
    <row r="378" spans="19:19" ht="15.75" customHeight="1" x14ac:dyDescent="0.25">
      <c r="S378" s="153"/>
    </row>
    <row r="379" spans="19:19" ht="15.75" customHeight="1" x14ac:dyDescent="0.25">
      <c r="S379" s="153"/>
    </row>
    <row r="380" spans="19:19" ht="15.75" customHeight="1" x14ac:dyDescent="0.25">
      <c r="S380" s="153"/>
    </row>
    <row r="381" spans="19:19" ht="15.75" customHeight="1" x14ac:dyDescent="0.25">
      <c r="S381" s="153"/>
    </row>
    <row r="382" spans="19:19" ht="15.75" customHeight="1" x14ac:dyDescent="0.25">
      <c r="S382" s="153"/>
    </row>
    <row r="383" spans="19:19" ht="15.75" customHeight="1" x14ac:dyDescent="0.25">
      <c r="S383" s="153"/>
    </row>
    <row r="384" spans="19:19" ht="15.75" customHeight="1" x14ac:dyDescent="0.25">
      <c r="S384" s="153"/>
    </row>
    <row r="385" spans="19:19" ht="15.75" customHeight="1" x14ac:dyDescent="0.25">
      <c r="S385" s="153"/>
    </row>
    <row r="386" spans="19:19" ht="15.75" customHeight="1" x14ac:dyDescent="0.25">
      <c r="S386" s="153"/>
    </row>
    <row r="387" spans="19:19" ht="15.75" customHeight="1" x14ac:dyDescent="0.25">
      <c r="S387" s="153"/>
    </row>
    <row r="388" spans="19:19" ht="15.75" customHeight="1" x14ac:dyDescent="0.25">
      <c r="S388" s="153"/>
    </row>
    <row r="389" spans="19:19" ht="15.75" customHeight="1" x14ac:dyDescent="0.25">
      <c r="S389" s="153"/>
    </row>
    <row r="390" spans="19:19" ht="15.75" customHeight="1" x14ac:dyDescent="0.25">
      <c r="S390" s="153"/>
    </row>
    <row r="391" spans="19:19" ht="15.75" customHeight="1" x14ac:dyDescent="0.25">
      <c r="S391" s="153"/>
    </row>
    <row r="392" spans="19:19" ht="15.75" customHeight="1" x14ac:dyDescent="0.25">
      <c r="S392" s="153"/>
    </row>
    <row r="393" spans="19:19" ht="15.75" customHeight="1" x14ac:dyDescent="0.25">
      <c r="S393" s="153"/>
    </row>
    <row r="394" spans="19:19" ht="15.75" customHeight="1" x14ac:dyDescent="0.25">
      <c r="S394" s="153"/>
    </row>
    <row r="395" spans="19:19" ht="15.75" customHeight="1" x14ac:dyDescent="0.25">
      <c r="S395" s="153"/>
    </row>
    <row r="396" spans="19:19" ht="15.75" customHeight="1" x14ac:dyDescent="0.25">
      <c r="S396" s="153"/>
    </row>
    <row r="397" spans="19:19" ht="15.75" customHeight="1" x14ac:dyDescent="0.25">
      <c r="S397" s="153"/>
    </row>
    <row r="398" spans="19:19" ht="15.75" customHeight="1" x14ac:dyDescent="0.25">
      <c r="S398" s="153"/>
    </row>
    <row r="399" spans="19:19" ht="15.75" customHeight="1" x14ac:dyDescent="0.25">
      <c r="S399" s="153"/>
    </row>
    <row r="400" spans="19:19" ht="15.75" customHeight="1" x14ac:dyDescent="0.25">
      <c r="S400" s="153"/>
    </row>
    <row r="401" spans="19:19" ht="15.75" customHeight="1" x14ac:dyDescent="0.25">
      <c r="S401" s="153"/>
    </row>
    <row r="402" spans="19:19" ht="15.75" customHeight="1" x14ac:dyDescent="0.25">
      <c r="S402" s="153"/>
    </row>
    <row r="403" spans="19:19" ht="15.75" customHeight="1" x14ac:dyDescent="0.25">
      <c r="S403" s="153"/>
    </row>
    <row r="404" spans="19:19" ht="15.75" customHeight="1" x14ac:dyDescent="0.25">
      <c r="S404" s="153"/>
    </row>
    <row r="405" spans="19:19" ht="15.75" customHeight="1" x14ac:dyDescent="0.25">
      <c r="S405" s="153"/>
    </row>
    <row r="406" spans="19:19" ht="15.75" customHeight="1" x14ac:dyDescent="0.25">
      <c r="S406" s="153"/>
    </row>
    <row r="407" spans="19:19" ht="15.75" customHeight="1" x14ac:dyDescent="0.25">
      <c r="S407" s="153"/>
    </row>
    <row r="408" spans="19:19" ht="15.75" customHeight="1" x14ac:dyDescent="0.25">
      <c r="S408" s="153"/>
    </row>
    <row r="409" spans="19:19" ht="15.75" customHeight="1" x14ac:dyDescent="0.25">
      <c r="S409" s="153"/>
    </row>
    <row r="410" spans="19:19" ht="15.75" customHeight="1" x14ac:dyDescent="0.25">
      <c r="S410" s="153"/>
    </row>
    <row r="411" spans="19:19" ht="15.75" customHeight="1" x14ac:dyDescent="0.25">
      <c r="S411" s="153"/>
    </row>
    <row r="412" spans="19:19" ht="15.75" customHeight="1" x14ac:dyDescent="0.25">
      <c r="S412" s="153"/>
    </row>
    <row r="413" spans="19:19" ht="15.75" customHeight="1" x14ac:dyDescent="0.25">
      <c r="S413" s="153"/>
    </row>
    <row r="414" spans="19:19" ht="15.75" customHeight="1" x14ac:dyDescent="0.25">
      <c r="S414" s="153"/>
    </row>
    <row r="415" spans="19:19" ht="15.75" customHeight="1" x14ac:dyDescent="0.25">
      <c r="S415" s="153"/>
    </row>
    <row r="416" spans="19:19" ht="15.75" customHeight="1" x14ac:dyDescent="0.25">
      <c r="S416" s="153"/>
    </row>
    <row r="417" spans="19:19" ht="15.75" customHeight="1" x14ac:dyDescent="0.25">
      <c r="S417" s="153"/>
    </row>
    <row r="418" spans="19:19" ht="15.75" customHeight="1" x14ac:dyDescent="0.25">
      <c r="S418" s="153"/>
    </row>
    <row r="419" spans="19:19" ht="15.75" customHeight="1" x14ac:dyDescent="0.25">
      <c r="S419" s="153"/>
    </row>
    <row r="420" spans="19:19" ht="15.75" customHeight="1" x14ac:dyDescent="0.25">
      <c r="S420" s="153"/>
    </row>
    <row r="421" spans="19:19" ht="15.75" customHeight="1" x14ac:dyDescent="0.25">
      <c r="S421" s="153"/>
    </row>
    <row r="422" spans="19:19" ht="15.75" customHeight="1" x14ac:dyDescent="0.25">
      <c r="S422" s="153"/>
    </row>
    <row r="423" spans="19:19" ht="15.75" customHeight="1" x14ac:dyDescent="0.25">
      <c r="S423" s="153"/>
    </row>
    <row r="424" spans="19:19" ht="15.75" customHeight="1" x14ac:dyDescent="0.25">
      <c r="S424" s="153"/>
    </row>
    <row r="425" spans="19:19" ht="15.75" customHeight="1" x14ac:dyDescent="0.25">
      <c r="S425" s="153"/>
    </row>
    <row r="426" spans="19:19" ht="15.75" customHeight="1" x14ac:dyDescent="0.25">
      <c r="S426" s="153"/>
    </row>
    <row r="427" spans="19:19" ht="15.75" customHeight="1" x14ac:dyDescent="0.25">
      <c r="S427" s="153"/>
    </row>
    <row r="428" spans="19:19" ht="15.75" customHeight="1" x14ac:dyDescent="0.25">
      <c r="S428" s="153"/>
    </row>
    <row r="429" spans="19:19" ht="15.75" customHeight="1" x14ac:dyDescent="0.25">
      <c r="S429" s="153"/>
    </row>
    <row r="430" spans="19:19" ht="15.75" customHeight="1" x14ac:dyDescent="0.25">
      <c r="S430" s="153"/>
    </row>
    <row r="431" spans="19:19" ht="15.75" customHeight="1" x14ac:dyDescent="0.25">
      <c r="S431" s="153"/>
    </row>
    <row r="432" spans="19:19" ht="15.75" customHeight="1" x14ac:dyDescent="0.25">
      <c r="S432" s="153"/>
    </row>
    <row r="433" spans="19:19" ht="15.75" customHeight="1" x14ac:dyDescent="0.25">
      <c r="S433" s="153"/>
    </row>
    <row r="434" spans="19:19" ht="15.75" customHeight="1" x14ac:dyDescent="0.25">
      <c r="S434" s="153"/>
    </row>
    <row r="435" spans="19:19" ht="15.75" customHeight="1" x14ac:dyDescent="0.25">
      <c r="S435" s="153"/>
    </row>
    <row r="436" spans="19:19" ht="15.75" customHeight="1" x14ac:dyDescent="0.25">
      <c r="S436" s="153"/>
    </row>
    <row r="437" spans="19:19" ht="15.75" customHeight="1" x14ac:dyDescent="0.25">
      <c r="S437" s="153"/>
    </row>
    <row r="438" spans="19:19" ht="15.75" customHeight="1" x14ac:dyDescent="0.25">
      <c r="S438" s="153"/>
    </row>
    <row r="439" spans="19:19" ht="15.75" customHeight="1" x14ac:dyDescent="0.25">
      <c r="S439" s="153"/>
    </row>
    <row r="440" spans="19:19" ht="15.75" customHeight="1" x14ac:dyDescent="0.25">
      <c r="S440" s="153"/>
    </row>
    <row r="441" spans="19:19" ht="15.75" customHeight="1" x14ac:dyDescent="0.25">
      <c r="S441" s="153"/>
    </row>
    <row r="442" spans="19:19" ht="15.75" customHeight="1" x14ac:dyDescent="0.25">
      <c r="S442" s="153"/>
    </row>
    <row r="443" spans="19:19" ht="15.75" customHeight="1" x14ac:dyDescent="0.25">
      <c r="S443" s="153"/>
    </row>
    <row r="444" spans="19:19" ht="15.75" customHeight="1" x14ac:dyDescent="0.25">
      <c r="S444" s="153"/>
    </row>
    <row r="445" spans="19:19" ht="15.75" customHeight="1" x14ac:dyDescent="0.25">
      <c r="S445" s="153"/>
    </row>
    <row r="446" spans="19:19" ht="15.75" customHeight="1" x14ac:dyDescent="0.25">
      <c r="S446" s="153"/>
    </row>
    <row r="447" spans="19:19" ht="15.75" customHeight="1" x14ac:dyDescent="0.25">
      <c r="S447" s="153"/>
    </row>
    <row r="448" spans="19:19" ht="15.75" customHeight="1" x14ac:dyDescent="0.25">
      <c r="S448" s="153"/>
    </row>
    <row r="449" spans="19:19" ht="15.75" customHeight="1" x14ac:dyDescent="0.25">
      <c r="S449" s="153"/>
    </row>
    <row r="450" spans="19:19" ht="15.75" customHeight="1" x14ac:dyDescent="0.25">
      <c r="S450" s="153"/>
    </row>
    <row r="451" spans="19:19" ht="15.75" customHeight="1" x14ac:dyDescent="0.25">
      <c r="S451" s="153"/>
    </row>
    <row r="452" spans="19:19" ht="15.75" customHeight="1" x14ac:dyDescent="0.25">
      <c r="S452" s="153"/>
    </row>
    <row r="453" spans="19:19" ht="15.75" customHeight="1" x14ac:dyDescent="0.25">
      <c r="S453" s="153"/>
    </row>
    <row r="454" spans="19:19" ht="15.75" customHeight="1" x14ac:dyDescent="0.25">
      <c r="S454" s="153"/>
    </row>
    <row r="455" spans="19:19" ht="15.75" customHeight="1" x14ac:dyDescent="0.25">
      <c r="S455" s="153"/>
    </row>
    <row r="456" spans="19:19" ht="15.75" customHeight="1" x14ac:dyDescent="0.25">
      <c r="S456" s="153"/>
    </row>
    <row r="457" spans="19:19" ht="15.75" customHeight="1" x14ac:dyDescent="0.25">
      <c r="S457" s="153"/>
    </row>
    <row r="458" spans="19:19" ht="15.75" customHeight="1" x14ac:dyDescent="0.25">
      <c r="S458" s="153"/>
    </row>
    <row r="459" spans="19:19" ht="15.75" customHeight="1" x14ac:dyDescent="0.25">
      <c r="S459" s="153"/>
    </row>
    <row r="460" spans="19:19" ht="15.75" customHeight="1" x14ac:dyDescent="0.25">
      <c r="S460" s="153"/>
    </row>
    <row r="461" spans="19:19" ht="15.75" customHeight="1" x14ac:dyDescent="0.25">
      <c r="S461" s="153"/>
    </row>
    <row r="462" spans="19:19" ht="15.75" customHeight="1" x14ac:dyDescent="0.25">
      <c r="S462" s="153"/>
    </row>
    <row r="463" spans="19:19" ht="15.75" customHeight="1" x14ac:dyDescent="0.25">
      <c r="S463" s="153"/>
    </row>
    <row r="464" spans="19:19" ht="15.75" customHeight="1" x14ac:dyDescent="0.25">
      <c r="S464" s="153"/>
    </row>
    <row r="465" spans="19:19" ht="15.75" customHeight="1" x14ac:dyDescent="0.25">
      <c r="S465" s="153"/>
    </row>
    <row r="466" spans="19:19" ht="15.75" customHeight="1" x14ac:dyDescent="0.25">
      <c r="S466" s="153"/>
    </row>
    <row r="467" spans="19:19" ht="15.75" customHeight="1" x14ac:dyDescent="0.25">
      <c r="S467" s="153"/>
    </row>
    <row r="468" spans="19:19" ht="15.75" customHeight="1" x14ac:dyDescent="0.25">
      <c r="S468" s="153"/>
    </row>
    <row r="469" spans="19:19" ht="15.75" customHeight="1" x14ac:dyDescent="0.25">
      <c r="S469" s="153"/>
    </row>
    <row r="470" spans="19:19" ht="15.75" customHeight="1" x14ac:dyDescent="0.25">
      <c r="S470" s="153"/>
    </row>
    <row r="471" spans="19:19" ht="15.75" customHeight="1" x14ac:dyDescent="0.25">
      <c r="S471" s="153"/>
    </row>
    <row r="472" spans="19:19" ht="15.75" customHeight="1" x14ac:dyDescent="0.25">
      <c r="S472" s="153"/>
    </row>
    <row r="473" spans="19:19" ht="15.75" customHeight="1" x14ac:dyDescent="0.25">
      <c r="S473" s="153"/>
    </row>
    <row r="474" spans="19:19" ht="15.75" customHeight="1" x14ac:dyDescent="0.25">
      <c r="S474" s="153"/>
    </row>
    <row r="475" spans="19:19" ht="15.75" customHeight="1" x14ac:dyDescent="0.25">
      <c r="S475" s="153"/>
    </row>
    <row r="476" spans="19:19" ht="15.75" customHeight="1" x14ac:dyDescent="0.25">
      <c r="S476" s="153"/>
    </row>
    <row r="477" spans="19:19" ht="15.75" customHeight="1" x14ac:dyDescent="0.25">
      <c r="S477" s="153"/>
    </row>
    <row r="478" spans="19:19" ht="15.75" customHeight="1" x14ac:dyDescent="0.25">
      <c r="S478" s="153"/>
    </row>
    <row r="479" spans="19:19" ht="15.75" customHeight="1" x14ac:dyDescent="0.25">
      <c r="S479" s="153"/>
    </row>
    <row r="480" spans="19:19" ht="15.75" customHeight="1" x14ac:dyDescent="0.25">
      <c r="S480" s="153"/>
    </row>
    <row r="481" spans="19:19" ht="15.75" customHeight="1" x14ac:dyDescent="0.25">
      <c r="S481" s="153"/>
    </row>
    <row r="482" spans="19:19" ht="15.75" customHeight="1" x14ac:dyDescent="0.25">
      <c r="S482" s="153"/>
    </row>
    <row r="483" spans="19:19" ht="15.75" customHeight="1" x14ac:dyDescent="0.25">
      <c r="S483" s="153"/>
    </row>
    <row r="484" spans="19:19" ht="15.75" customHeight="1" x14ac:dyDescent="0.25">
      <c r="S484" s="153"/>
    </row>
    <row r="485" spans="19:19" ht="15.75" customHeight="1" x14ac:dyDescent="0.25">
      <c r="S485" s="153"/>
    </row>
    <row r="486" spans="19:19" ht="15.75" customHeight="1" x14ac:dyDescent="0.25">
      <c r="S486" s="153"/>
    </row>
    <row r="487" spans="19:19" ht="15.75" customHeight="1" x14ac:dyDescent="0.25">
      <c r="S487" s="153"/>
    </row>
    <row r="488" spans="19:19" ht="15.75" customHeight="1" x14ac:dyDescent="0.25">
      <c r="S488" s="153"/>
    </row>
    <row r="489" spans="19:19" ht="15.75" customHeight="1" x14ac:dyDescent="0.25">
      <c r="S489" s="153"/>
    </row>
    <row r="490" spans="19:19" ht="15.75" customHeight="1" x14ac:dyDescent="0.25">
      <c r="S490" s="153"/>
    </row>
    <row r="491" spans="19:19" ht="15.75" customHeight="1" x14ac:dyDescent="0.25">
      <c r="S491" s="153"/>
    </row>
    <row r="492" spans="19:19" ht="15.75" customHeight="1" x14ac:dyDescent="0.25">
      <c r="S492" s="153"/>
    </row>
    <row r="493" spans="19:19" ht="15.75" customHeight="1" x14ac:dyDescent="0.25">
      <c r="S493" s="153"/>
    </row>
    <row r="494" spans="19:19" ht="15.75" customHeight="1" x14ac:dyDescent="0.25">
      <c r="S494" s="153"/>
    </row>
    <row r="495" spans="19:19" ht="15.75" customHeight="1" x14ac:dyDescent="0.25">
      <c r="S495" s="153"/>
    </row>
    <row r="496" spans="19:19" ht="15.75" customHeight="1" x14ac:dyDescent="0.25">
      <c r="S496" s="153"/>
    </row>
    <row r="497" spans="19:19" ht="15.75" customHeight="1" x14ac:dyDescent="0.25">
      <c r="S497" s="153"/>
    </row>
    <row r="498" spans="19:19" ht="15.75" customHeight="1" x14ac:dyDescent="0.25">
      <c r="S498" s="153"/>
    </row>
    <row r="499" spans="19:19" ht="15.75" customHeight="1" x14ac:dyDescent="0.25">
      <c r="S499" s="153"/>
    </row>
    <row r="500" spans="19:19" ht="15.75" customHeight="1" x14ac:dyDescent="0.25">
      <c r="S500" s="153"/>
    </row>
    <row r="501" spans="19:19" ht="15.75" customHeight="1" x14ac:dyDescent="0.25">
      <c r="S501" s="153"/>
    </row>
    <row r="502" spans="19:19" ht="15.75" customHeight="1" x14ac:dyDescent="0.25">
      <c r="S502" s="153"/>
    </row>
    <row r="503" spans="19:19" ht="15.75" customHeight="1" x14ac:dyDescent="0.25">
      <c r="S503" s="153"/>
    </row>
    <row r="504" spans="19:19" ht="15.75" customHeight="1" x14ac:dyDescent="0.25">
      <c r="S504" s="153"/>
    </row>
    <row r="505" spans="19:19" ht="15.75" customHeight="1" x14ac:dyDescent="0.25">
      <c r="S505" s="153"/>
    </row>
    <row r="506" spans="19:19" ht="15.75" customHeight="1" x14ac:dyDescent="0.25">
      <c r="S506" s="153"/>
    </row>
    <row r="507" spans="19:19" ht="15.75" customHeight="1" x14ac:dyDescent="0.25">
      <c r="S507" s="153"/>
    </row>
    <row r="508" spans="19:19" ht="15.75" customHeight="1" x14ac:dyDescent="0.25">
      <c r="S508" s="153"/>
    </row>
    <row r="509" spans="19:19" ht="15.75" customHeight="1" x14ac:dyDescent="0.25">
      <c r="S509" s="153"/>
    </row>
    <row r="510" spans="19:19" ht="15.75" customHeight="1" x14ac:dyDescent="0.25">
      <c r="S510" s="153"/>
    </row>
    <row r="511" spans="19:19" ht="15.75" customHeight="1" x14ac:dyDescent="0.25">
      <c r="S511" s="153"/>
    </row>
    <row r="512" spans="19:19" ht="15.75" customHeight="1" x14ac:dyDescent="0.25">
      <c r="S512" s="153"/>
    </row>
    <row r="513" spans="19:19" ht="15.75" customHeight="1" x14ac:dyDescent="0.25">
      <c r="S513" s="153"/>
    </row>
    <row r="514" spans="19:19" ht="15.75" customHeight="1" x14ac:dyDescent="0.25">
      <c r="S514" s="153"/>
    </row>
    <row r="515" spans="19:19" ht="15.75" customHeight="1" x14ac:dyDescent="0.25">
      <c r="S515" s="153"/>
    </row>
    <row r="516" spans="19:19" ht="15.75" customHeight="1" x14ac:dyDescent="0.25">
      <c r="S516" s="153"/>
    </row>
    <row r="517" spans="19:19" ht="15.75" customHeight="1" x14ac:dyDescent="0.25">
      <c r="S517" s="153"/>
    </row>
    <row r="518" spans="19:19" ht="15.75" customHeight="1" x14ac:dyDescent="0.25">
      <c r="S518" s="153"/>
    </row>
    <row r="519" spans="19:19" ht="15.75" customHeight="1" x14ac:dyDescent="0.25">
      <c r="S519" s="153"/>
    </row>
    <row r="520" spans="19:19" ht="15.75" customHeight="1" x14ac:dyDescent="0.25">
      <c r="S520" s="153"/>
    </row>
    <row r="521" spans="19:19" ht="15.75" customHeight="1" x14ac:dyDescent="0.25">
      <c r="S521" s="153"/>
    </row>
    <row r="522" spans="19:19" ht="15.75" customHeight="1" x14ac:dyDescent="0.25">
      <c r="S522" s="153"/>
    </row>
    <row r="523" spans="19:19" ht="15.75" customHeight="1" x14ac:dyDescent="0.25">
      <c r="S523" s="153"/>
    </row>
    <row r="524" spans="19:19" ht="15.75" customHeight="1" x14ac:dyDescent="0.25">
      <c r="S524" s="153"/>
    </row>
    <row r="525" spans="19:19" ht="15.75" customHeight="1" x14ac:dyDescent="0.25">
      <c r="S525" s="153"/>
    </row>
    <row r="526" spans="19:19" ht="15.75" customHeight="1" x14ac:dyDescent="0.25">
      <c r="S526" s="153"/>
    </row>
    <row r="527" spans="19:19" ht="15.75" customHeight="1" x14ac:dyDescent="0.25">
      <c r="S527" s="153"/>
    </row>
    <row r="528" spans="19:19" ht="15.75" customHeight="1" x14ac:dyDescent="0.25">
      <c r="S528" s="153"/>
    </row>
    <row r="529" spans="19:19" ht="15.75" customHeight="1" x14ac:dyDescent="0.25">
      <c r="S529" s="153"/>
    </row>
    <row r="530" spans="19:19" ht="15.75" customHeight="1" x14ac:dyDescent="0.25">
      <c r="S530" s="153"/>
    </row>
    <row r="531" spans="19:19" ht="15.75" customHeight="1" x14ac:dyDescent="0.25">
      <c r="S531" s="153"/>
    </row>
    <row r="532" spans="19:19" ht="15.75" customHeight="1" x14ac:dyDescent="0.25">
      <c r="S532" s="153"/>
    </row>
    <row r="533" spans="19:19" ht="15.75" customHeight="1" x14ac:dyDescent="0.25">
      <c r="S533" s="153"/>
    </row>
    <row r="534" spans="19:19" ht="15.75" customHeight="1" x14ac:dyDescent="0.25">
      <c r="S534" s="153"/>
    </row>
    <row r="535" spans="19:19" ht="15.75" customHeight="1" x14ac:dyDescent="0.25">
      <c r="S535" s="153"/>
    </row>
    <row r="536" spans="19:19" ht="15.75" customHeight="1" x14ac:dyDescent="0.25">
      <c r="S536" s="153"/>
    </row>
    <row r="537" spans="19:19" ht="15.75" customHeight="1" x14ac:dyDescent="0.25">
      <c r="S537" s="153"/>
    </row>
    <row r="538" spans="19:19" ht="15.75" customHeight="1" x14ac:dyDescent="0.25">
      <c r="S538" s="153"/>
    </row>
    <row r="539" spans="19:19" ht="15.75" customHeight="1" x14ac:dyDescent="0.25">
      <c r="S539" s="153"/>
    </row>
    <row r="540" spans="19:19" ht="15.75" customHeight="1" x14ac:dyDescent="0.25">
      <c r="S540" s="153"/>
    </row>
    <row r="541" spans="19:19" ht="15.75" customHeight="1" x14ac:dyDescent="0.25">
      <c r="S541" s="153"/>
    </row>
    <row r="542" spans="19:19" ht="15.75" customHeight="1" x14ac:dyDescent="0.25">
      <c r="S542" s="153"/>
    </row>
    <row r="543" spans="19:19" ht="15.75" customHeight="1" x14ac:dyDescent="0.25">
      <c r="S543" s="153"/>
    </row>
    <row r="544" spans="19:19" ht="15.75" customHeight="1" x14ac:dyDescent="0.25">
      <c r="S544" s="153"/>
    </row>
    <row r="545" spans="19:19" ht="15.75" customHeight="1" x14ac:dyDescent="0.25">
      <c r="S545" s="153"/>
    </row>
    <row r="546" spans="19:19" ht="15.75" customHeight="1" x14ac:dyDescent="0.25">
      <c r="S546" s="153"/>
    </row>
    <row r="547" spans="19:19" ht="15.75" customHeight="1" x14ac:dyDescent="0.25">
      <c r="S547" s="153"/>
    </row>
    <row r="548" spans="19:19" ht="15.75" customHeight="1" x14ac:dyDescent="0.25">
      <c r="S548" s="153"/>
    </row>
    <row r="549" spans="19:19" ht="15.75" customHeight="1" x14ac:dyDescent="0.25">
      <c r="S549" s="153"/>
    </row>
    <row r="550" spans="19:19" ht="15.75" customHeight="1" x14ac:dyDescent="0.25">
      <c r="S550" s="153"/>
    </row>
    <row r="551" spans="19:19" ht="15.75" customHeight="1" x14ac:dyDescent="0.25">
      <c r="S551" s="153"/>
    </row>
    <row r="552" spans="19:19" ht="15.75" customHeight="1" x14ac:dyDescent="0.25">
      <c r="S552" s="153"/>
    </row>
    <row r="553" spans="19:19" ht="15.75" customHeight="1" x14ac:dyDescent="0.25">
      <c r="S553" s="153"/>
    </row>
    <row r="554" spans="19:19" ht="15.75" customHeight="1" x14ac:dyDescent="0.25">
      <c r="S554" s="153"/>
    </row>
    <row r="555" spans="19:19" ht="15.75" customHeight="1" x14ac:dyDescent="0.25">
      <c r="S555" s="153"/>
    </row>
    <row r="556" spans="19:19" ht="15.75" customHeight="1" x14ac:dyDescent="0.25">
      <c r="S556" s="153"/>
    </row>
    <row r="557" spans="19:19" ht="15.75" customHeight="1" x14ac:dyDescent="0.25">
      <c r="S557" s="153"/>
    </row>
    <row r="558" spans="19:19" ht="15.75" customHeight="1" x14ac:dyDescent="0.25">
      <c r="S558" s="153"/>
    </row>
    <row r="559" spans="19:19" ht="15.75" customHeight="1" x14ac:dyDescent="0.25">
      <c r="S559" s="153"/>
    </row>
    <row r="560" spans="19:19" ht="15.75" customHeight="1" x14ac:dyDescent="0.25">
      <c r="S560" s="153"/>
    </row>
    <row r="561" spans="19:19" ht="15.75" customHeight="1" x14ac:dyDescent="0.25">
      <c r="S561" s="153"/>
    </row>
    <row r="562" spans="19:19" ht="15.75" customHeight="1" x14ac:dyDescent="0.25">
      <c r="S562" s="153"/>
    </row>
    <row r="563" spans="19:19" ht="15.75" customHeight="1" x14ac:dyDescent="0.25">
      <c r="S563" s="153"/>
    </row>
    <row r="564" spans="19:19" ht="15.75" customHeight="1" x14ac:dyDescent="0.25">
      <c r="S564" s="153"/>
    </row>
    <row r="565" spans="19:19" ht="15.75" customHeight="1" x14ac:dyDescent="0.25">
      <c r="S565" s="153"/>
    </row>
    <row r="566" spans="19:19" ht="15.75" customHeight="1" x14ac:dyDescent="0.25">
      <c r="S566" s="153"/>
    </row>
    <row r="567" spans="19:19" ht="15.75" customHeight="1" x14ac:dyDescent="0.25">
      <c r="S567" s="153"/>
    </row>
    <row r="568" spans="19:19" ht="15.75" customHeight="1" x14ac:dyDescent="0.25">
      <c r="S568" s="153"/>
    </row>
    <row r="569" spans="19:19" ht="15.75" customHeight="1" x14ac:dyDescent="0.25">
      <c r="S569" s="153"/>
    </row>
    <row r="570" spans="19:19" ht="15.75" customHeight="1" x14ac:dyDescent="0.25">
      <c r="S570" s="153"/>
    </row>
    <row r="571" spans="19:19" ht="15.75" customHeight="1" x14ac:dyDescent="0.25">
      <c r="S571" s="153"/>
    </row>
    <row r="572" spans="19:19" ht="15.75" customHeight="1" x14ac:dyDescent="0.25">
      <c r="S572" s="153"/>
    </row>
    <row r="573" spans="19:19" ht="15.75" customHeight="1" x14ac:dyDescent="0.25">
      <c r="S573" s="153"/>
    </row>
    <row r="574" spans="19:19" ht="15.75" customHeight="1" x14ac:dyDescent="0.25">
      <c r="S574" s="153"/>
    </row>
    <row r="575" spans="19:19" ht="15.75" customHeight="1" x14ac:dyDescent="0.25">
      <c r="S575" s="153"/>
    </row>
    <row r="576" spans="19:19" ht="15.75" customHeight="1" x14ac:dyDescent="0.25">
      <c r="S576" s="153"/>
    </row>
    <row r="577" spans="19:19" ht="15.75" customHeight="1" x14ac:dyDescent="0.25">
      <c r="S577" s="153"/>
    </row>
    <row r="578" spans="19:19" ht="15.75" customHeight="1" x14ac:dyDescent="0.25">
      <c r="S578" s="153"/>
    </row>
    <row r="579" spans="19:19" ht="15.75" customHeight="1" x14ac:dyDescent="0.25">
      <c r="S579" s="153"/>
    </row>
    <row r="580" spans="19:19" ht="15.75" customHeight="1" x14ac:dyDescent="0.25">
      <c r="S580" s="153"/>
    </row>
    <row r="581" spans="19:19" ht="15.75" customHeight="1" x14ac:dyDescent="0.25">
      <c r="S581" s="153"/>
    </row>
    <row r="582" spans="19:19" ht="15.75" customHeight="1" x14ac:dyDescent="0.25">
      <c r="S582" s="153"/>
    </row>
    <row r="583" spans="19:19" ht="15.75" customHeight="1" x14ac:dyDescent="0.25">
      <c r="S583" s="153"/>
    </row>
    <row r="584" spans="19:19" ht="15.75" customHeight="1" x14ac:dyDescent="0.25">
      <c r="S584" s="153"/>
    </row>
    <row r="585" spans="19:19" ht="15.75" customHeight="1" x14ac:dyDescent="0.25">
      <c r="S585" s="153"/>
    </row>
    <row r="586" spans="19:19" ht="15.75" customHeight="1" x14ac:dyDescent="0.25">
      <c r="S586" s="153"/>
    </row>
    <row r="587" spans="19:19" ht="15.75" customHeight="1" x14ac:dyDescent="0.25">
      <c r="S587" s="153"/>
    </row>
    <row r="588" spans="19:19" ht="15.75" customHeight="1" x14ac:dyDescent="0.25">
      <c r="S588" s="153"/>
    </row>
    <row r="589" spans="19:19" ht="15.75" customHeight="1" x14ac:dyDescent="0.25">
      <c r="S589" s="153"/>
    </row>
    <row r="590" spans="19:19" ht="15.75" customHeight="1" x14ac:dyDescent="0.25">
      <c r="S590" s="153"/>
    </row>
    <row r="591" spans="19:19" ht="15.75" customHeight="1" x14ac:dyDescent="0.25">
      <c r="S591" s="153"/>
    </row>
    <row r="592" spans="19:19" ht="15.75" customHeight="1" x14ac:dyDescent="0.25">
      <c r="S592" s="153"/>
    </row>
    <row r="593" spans="19:19" ht="15.75" customHeight="1" x14ac:dyDescent="0.25">
      <c r="S593" s="153"/>
    </row>
    <row r="594" spans="19:19" ht="15.75" customHeight="1" x14ac:dyDescent="0.25">
      <c r="S594" s="153"/>
    </row>
    <row r="595" spans="19:19" ht="15.75" customHeight="1" x14ac:dyDescent="0.25">
      <c r="S595" s="153"/>
    </row>
    <row r="596" spans="19:19" ht="15.75" customHeight="1" x14ac:dyDescent="0.25">
      <c r="S596" s="153"/>
    </row>
    <row r="597" spans="19:19" ht="15.75" customHeight="1" x14ac:dyDescent="0.25">
      <c r="S597" s="153"/>
    </row>
    <row r="598" spans="19:19" ht="15.75" customHeight="1" x14ac:dyDescent="0.25">
      <c r="S598" s="153"/>
    </row>
    <row r="599" spans="19:19" ht="15.75" customHeight="1" x14ac:dyDescent="0.25">
      <c r="S599" s="153"/>
    </row>
    <row r="600" spans="19:19" ht="15.75" customHeight="1" x14ac:dyDescent="0.25">
      <c r="S600" s="153"/>
    </row>
    <row r="601" spans="19:19" ht="15.75" customHeight="1" x14ac:dyDescent="0.25">
      <c r="S601" s="153"/>
    </row>
    <row r="602" spans="19:19" ht="15.75" customHeight="1" x14ac:dyDescent="0.25">
      <c r="S602" s="153"/>
    </row>
    <row r="603" spans="19:19" ht="15.75" customHeight="1" x14ac:dyDescent="0.25">
      <c r="S603" s="153"/>
    </row>
    <row r="604" spans="19:19" ht="15.75" customHeight="1" x14ac:dyDescent="0.25">
      <c r="S604" s="153"/>
    </row>
    <row r="605" spans="19:19" ht="15.75" customHeight="1" x14ac:dyDescent="0.25">
      <c r="S605" s="153"/>
    </row>
    <row r="606" spans="19:19" ht="15.75" customHeight="1" x14ac:dyDescent="0.25">
      <c r="S606" s="153"/>
    </row>
    <row r="607" spans="19:19" ht="15.75" customHeight="1" x14ac:dyDescent="0.25">
      <c r="S607" s="153"/>
    </row>
    <row r="608" spans="19:19" ht="15.75" customHeight="1" x14ac:dyDescent="0.25">
      <c r="S608" s="153"/>
    </row>
    <row r="609" spans="19:19" ht="15.75" customHeight="1" x14ac:dyDescent="0.25">
      <c r="S609" s="153"/>
    </row>
    <row r="610" spans="19:19" ht="15.75" customHeight="1" x14ac:dyDescent="0.25">
      <c r="S610" s="153"/>
    </row>
    <row r="611" spans="19:19" ht="15.75" customHeight="1" x14ac:dyDescent="0.25">
      <c r="S611" s="153"/>
    </row>
    <row r="612" spans="19:19" ht="15.75" customHeight="1" x14ac:dyDescent="0.25">
      <c r="S612" s="153"/>
    </row>
    <row r="613" spans="19:19" ht="15.75" customHeight="1" x14ac:dyDescent="0.25">
      <c r="S613" s="153"/>
    </row>
    <row r="614" spans="19:19" ht="15.75" customHeight="1" x14ac:dyDescent="0.25">
      <c r="S614" s="153"/>
    </row>
    <row r="615" spans="19:19" ht="15.75" customHeight="1" x14ac:dyDescent="0.25">
      <c r="S615" s="153"/>
    </row>
    <row r="616" spans="19:19" ht="15.75" customHeight="1" x14ac:dyDescent="0.25">
      <c r="S616" s="153"/>
    </row>
    <row r="617" spans="19:19" ht="15.75" customHeight="1" x14ac:dyDescent="0.25">
      <c r="S617" s="153"/>
    </row>
    <row r="618" spans="19:19" ht="15.75" customHeight="1" x14ac:dyDescent="0.25">
      <c r="S618" s="153"/>
    </row>
    <row r="619" spans="19:19" ht="15.75" customHeight="1" x14ac:dyDescent="0.25">
      <c r="S619" s="153"/>
    </row>
    <row r="620" spans="19:19" ht="15.75" customHeight="1" x14ac:dyDescent="0.25">
      <c r="S620" s="153"/>
    </row>
    <row r="621" spans="19:19" ht="15.75" customHeight="1" x14ac:dyDescent="0.25">
      <c r="S621" s="153"/>
    </row>
    <row r="622" spans="19:19" ht="15.75" customHeight="1" x14ac:dyDescent="0.25">
      <c r="S622" s="153"/>
    </row>
    <row r="623" spans="19:19" ht="15.75" customHeight="1" x14ac:dyDescent="0.25">
      <c r="S623" s="153"/>
    </row>
    <row r="624" spans="19:19" ht="15.75" customHeight="1" x14ac:dyDescent="0.25">
      <c r="S624" s="153"/>
    </row>
    <row r="625" spans="19:19" ht="15.75" customHeight="1" x14ac:dyDescent="0.25">
      <c r="S625" s="153"/>
    </row>
    <row r="626" spans="19:19" ht="15.75" customHeight="1" x14ac:dyDescent="0.25">
      <c r="S626" s="153"/>
    </row>
    <row r="627" spans="19:19" ht="15.75" customHeight="1" x14ac:dyDescent="0.25">
      <c r="S627" s="153"/>
    </row>
    <row r="628" spans="19:19" ht="15.75" customHeight="1" x14ac:dyDescent="0.25">
      <c r="S628" s="153"/>
    </row>
    <row r="629" spans="19:19" ht="15.75" customHeight="1" x14ac:dyDescent="0.25">
      <c r="S629" s="153"/>
    </row>
    <row r="630" spans="19:19" ht="15.75" customHeight="1" x14ac:dyDescent="0.25">
      <c r="S630" s="153"/>
    </row>
    <row r="631" spans="19:19" ht="15.75" customHeight="1" x14ac:dyDescent="0.25">
      <c r="S631" s="153"/>
    </row>
    <row r="632" spans="19:19" ht="15.75" customHeight="1" x14ac:dyDescent="0.25">
      <c r="S632" s="153"/>
    </row>
    <row r="633" spans="19:19" ht="15.75" customHeight="1" x14ac:dyDescent="0.25">
      <c r="S633" s="153"/>
    </row>
    <row r="634" spans="19:19" ht="15.75" customHeight="1" x14ac:dyDescent="0.25">
      <c r="S634" s="153"/>
    </row>
    <row r="635" spans="19:19" ht="15.75" customHeight="1" x14ac:dyDescent="0.25">
      <c r="S635" s="153"/>
    </row>
    <row r="636" spans="19:19" ht="15.75" customHeight="1" x14ac:dyDescent="0.25">
      <c r="S636" s="153"/>
    </row>
    <row r="637" spans="19:19" ht="15.75" customHeight="1" x14ac:dyDescent="0.25">
      <c r="S637" s="153"/>
    </row>
    <row r="638" spans="19:19" ht="15.75" customHeight="1" x14ac:dyDescent="0.25">
      <c r="S638" s="153"/>
    </row>
    <row r="639" spans="19:19" ht="15.75" customHeight="1" x14ac:dyDescent="0.25">
      <c r="S639" s="153"/>
    </row>
    <row r="640" spans="19:19" ht="15.75" customHeight="1" x14ac:dyDescent="0.25">
      <c r="S640" s="153"/>
    </row>
    <row r="641" spans="19:19" ht="15.75" customHeight="1" x14ac:dyDescent="0.25">
      <c r="S641" s="153"/>
    </row>
    <row r="642" spans="19:19" ht="15.75" customHeight="1" x14ac:dyDescent="0.25">
      <c r="S642" s="153"/>
    </row>
    <row r="643" spans="19:19" ht="15.75" customHeight="1" x14ac:dyDescent="0.25">
      <c r="S643" s="153"/>
    </row>
    <row r="644" spans="19:19" ht="15.75" customHeight="1" x14ac:dyDescent="0.25">
      <c r="S644" s="153"/>
    </row>
    <row r="645" spans="19:19" ht="15.75" customHeight="1" x14ac:dyDescent="0.25">
      <c r="S645" s="153"/>
    </row>
    <row r="646" spans="19:19" ht="15.75" customHeight="1" x14ac:dyDescent="0.25">
      <c r="S646" s="153"/>
    </row>
    <row r="647" spans="19:19" ht="15.75" customHeight="1" x14ac:dyDescent="0.25">
      <c r="S647" s="153"/>
    </row>
    <row r="648" spans="19:19" ht="15.75" customHeight="1" x14ac:dyDescent="0.25">
      <c r="S648" s="153"/>
    </row>
    <row r="649" spans="19:19" ht="15.75" customHeight="1" x14ac:dyDescent="0.25">
      <c r="S649" s="153"/>
    </row>
    <row r="650" spans="19:19" ht="15.75" customHeight="1" x14ac:dyDescent="0.25">
      <c r="S650" s="153"/>
    </row>
    <row r="651" spans="19:19" ht="15.75" customHeight="1" x14ac:dyDescent="0.25">
      <c r="S651" s="153"/>
    </row>
    <row r="652" spans="19:19" ht="15.75" customHeight="1" x14ac:dyDescent="0.25">
      <c r="S652" s="153"/>
    </row>
    <row r="653" spans="19:19" ht="15.75" customHeight="1" x14ac:dyDescent="0.25">
      <c r="S653" s="153"/>
    </row>
    <row r="654" spans="19:19" ht="15.75" customHeight="1" x14ac:dyDescent="0.25">
      <c r="S654" s="153"/>
    </row>
    <row r="655" spans="19:19" ht="15.75" customHeight="1" x14ac:dyDescent="0.25">
      <c r="S655" s="153"/>
    </row>
    <row r="656" spans="19:19" ht="15.75" customHeight="1" x14ac:dyDescent="0.25">
      <c r="S656" s="153"/>
    </row>
    <row r="657" spans="19:19" ht="15.75" customHeight="1" x14ac:dyDescent="0.25">
      <c r="S657" s="153"/>
    </row>
    <row r="658" spans="19:19" ht="15.75" customHeight="1" x14ac:dyDescent="0.25">
      <c r="S658" s="153"/>
    </row>
    <row r="659" spans="19:19" ht="15.75" customHeight="1" x14ac:dyDescent="0.25">
      <c r="S659" s="153"/>
    </row>
    <row r="660" spans="19:19" ht="15.75" customHeight="1" x14ac:dyDescent="0.25">
      <c r="S660" s="153"/>
    </row>
    <row r="661" spans="19:19" ht="15.75" customHeight="1" x14ac:dyDescent="0.25">
      <c r="S661" s="153"/>
    </row>
    <row r="662" spans="19:19" ht="15.75" customHeight="1" x14ac:dyDescent="0.25">
      <c r="S662" s="153"/>
    </row>
    <row r="663" spans="19:19" ht="15.75" customHeight="1" x14ac:dyDescent="0.25">
      <c r="S663" s="153"/>
    </row>
    <row r="664" spans="19:19" ht="15.75" customHeight="1" x14ac:dyDescent="0.25">
      <c r="S664" s="153"/>
    </row>
    <row r="665" spans="19:19" ht="15.75" customHeight="1" x14ac:dyDescent="0.25">
      <c r="S665" s="153"/>
    </row>
    <row r="666" spans="19:19" ht="15.75" customHeight="1" x14ac:dyDescent="0.25">
      <c r="S666" s="153"/>
    </row>
    <row r="667" spans="19:19" ht="15.75" customHeight="1" x14ac:dyDescent="0.25">
      <c r="S667" s="153"/>
    </row>
    <row r="668" spans="19:19" ht="15.75" customHeight="1" x14ac:dyDescent="0.25">
      <c r="S668" s="153"/>
    </row>
    <row r="669" spans="19:19" ht="15.75" customHeight="1" x14ac:dyDescent="0.25">
      <c r="S669" s="153"/>
    </row>
    <row r="670" spans="19:19" ht="15.75" customHeight="1" x14ac:dyDescent="0.25">
      <c r="S670" s="153"/>
    </row>
    <row r="671" spans="19:19" ht="15.75" customHeight="1" x14ac:dyDescent="0.25">
      <c r="S671" s="153"/>
    </row>
    <row r="672" spans="19:19" ht="15.75" customHeight="1" x14ac:dyDescent="0.25">
      <c r="S672" s="153"/>
    </row>
    <row r="673" spans="19:19" ht="15.75" customHeight="1" x14ac:dyDescent="0.25">
      <c r="S673" s="153"/>
    </row>
    <row r="674" spans="19:19" ht="15.75" customHeight="1" x14ac:dyDescent="0.25">
      <c r="S674" s="153"/>
    </row>
    <row r="675" spans="19:19" ht="15.75" customHeight="1" x14ac:dyDescent="0.25">
      <c r="S675" s="153"/>
    </row>
    <row r="676" spans="19:19" ht="15.75" customHeight="1" x14ac:dyDescent="0.25">
      <c r="S676" s="153"/>
    </row>
    <row r="677" spans="19:19" ht="15.75" customHeight="1" x14ac:dyDescent="0.25">
      <c r="S677" s="153"/>
    </row>
    <row r="678" spans="19:19" ht="15.75" customHeight="1" x14ac:dyDescent="0.25">
      <c r="S678" s="153"/>
    </row>
    <row r="679" spans="19:19" ht="15.75" customHeight="1" x14ac:dyDescent="0.25">
      <c r="S679" s="153"/>
    </row>
    <row r="680" spans="19:19" ht="15.75" customHeight="1" x14ac:dyDescent="0.25">
      <c r="S680" s="153"/>
    </row>
    <row r="681" spans="19:19" ht="15.75" customHeight="1" x14ac:dyDescent="0.25">
      <c r="S681" s="153"/>
    </row>
    <row r="682" spans="19:19" ht="15.75" customHeight="1" x14ac:dyDescent="0.25">
      <c r="S682" s="153"/>
    </row>
    <row r="683" spans="19:19" ht="15.75" customHeight="1" x14ac:dyDescent="0.25">
      <c r="S683" s="153"/>
    </row>
    <row r="684" spans="19:19" ht="15.75" customHeight="1" x14ac:dyDescent="0.25">
      <c r="S684" s="153"/>
    </row>
    <row r="685" spans="19:19" ht="15.75" customHeight="1" x14ac:dyDescent="0.25">
      <c r="S685" s="153"/>
    </row>
    <row r="686" spans="19:19" ht="15.75" customHeight="1" x14ac:dyDescent="0.25">
      <c r="S686" s="153"/>
    </row>
    <row r="687" spans="19:19" ht="15.75" customHeight="1" x14ac:dyDescent="0.25">
      <c r="S687" s="153"/>
    </row>
    <row r="688" spans="19:19" ht="15.75" customHeight="1" x14ac:dyDescent="0.25">
      <c r="S688" s="153"/>
    </row>
    <row r="689" spans="19:19" ht="15.75" customHeight="1" x14ac:dyDescent="0.25">
      <c r="S689" s="153"/>
    </row>
    <row r="690" spans="19:19" ht="15.75" customHeight="1" x14ac:dyDescent="0.25">
      <c r="S690" s="153"/>
    </row>
    <row r="691" spans="19:19" ht="15.75" customHeight="1" x14ac:dyDescent="0.25">
      <c r="S691" s="153"/>
    </row>
    <row r="692" spans="19:19" ht="15.75" customHeight="1" x14ac:dyDescent="0.25">
      <c r="S692" s="153"/>
    </row>
    <row r="693" spans="19:19" ht="15.75" customHeight="1" x14ac:dyDescent="0.25">
      <c r="S693" s="153"/>
    </row>
    <row r="694" spans="19:19" ht="15.75" customHeight="1" x14ac:dyDescent="0.25">
      <c r="S694" s="153"/>
    </row>
    <row r="695" spans="19:19" ht="15.75" customHeight="1" x14ac:dyDescent="0.25">
      <c r="S695" s="153"/>
    </row>
    <row r="696" spans="19:19" ht="15.75" customHeight="1" x14ac:dyDescent="0.25">
      <c r="S696" s="153"/>
    </row>
    <row r="697" spans="19:19" ht="15.75" customHeight="1" x14ac:dyDescent="0.25">
      <c r="S697" s="153"/>
    </row>
    <row r="698" spans="19:19" ht="15.75" customHeight="1" x14ac:dyDescent="0.25">
      <c r="S698" s="153"/>
    </row>
    <row r="699" spans="19:19" ht="15.75" customHeight="1" x14ac:dyDescent="0.25">
      <c r="S699" s="153"/>
    </row>
    <row r="700" spans="19:19" ht="15.75" customHeight="1" x14ac:dyDescent="0.25">
      <c r="S700" s="153"/>
    </row>
    <row r="701" spans="19:19" ht="15.75" customHeight="1" x14ac:dyDescent="0.25">
      <c r="S701" s="153"/>
    </row>
    <row r="702" spans="19:19" ht="15.75" customHeight="1" x14ac:dyDescent="0.25">
      <c r="S702" s="153"/>
    </row>
    <row r="703" spans="19:19" ht="15.75" customHeight="1" x14ac:dyDescent="0.25">
      <c r="S703" s="153"/>
    </row>
    <row r="704" spans="19:19" ht="15.75" customHeight="1" x14ac:dyDescent="0.25">
      <c r="S704" s="153"/>
    </row>
    <row r="705" spans="19:19" ht="15.75" customHeight="1" x14ac:dyDescent="0.25">
      <c r="S705" s="153"/>
    </row>
    <row r="706" spans="19:19" ht="15.75" customHeight="1" x14ac:dyDescent="0.25">
      <c r="S706" s="153"/>
    </row>
    <row r="707" spans="19:19" ht="15.75" customHeight="1" x14ac:dyDescent="0.25">
      <c r="S707" s="153"/>
    </row>
    <row r="708" spans="19:19" ht="15.75" customHeight="1" x14ac:dyDescent="0.25">
      <c r="S708" s="153"/>
    </row>
    <row r="709" spans="19:19" ht="15.75" customHeight="1" x14ac:dyDescent="0.25">
      <c r="S709" s="153"/>
    </row>
    <row r="710" spans="19:19" ht="15.75" customHeight="1" x14ac:dyDescent="0.25">
      <c r="S710" s="153"/>
    </row>
    <row r="711" spans="19:19" ht="15.75" customHeight="1" x14ac:dyDescent="0.25">
      <c r="S711" s="153"/>
    </row>
    <row r="712" spans="19:19" ht="15.75" customHeight="1" x14ac:dyDescent="0.25">
      <c r="S712" s="153"/>
    </row>
    <row r="713" spans="19:19" ht="15.75" customHeight="1" x14ac:dyDescent="0.25">
      <c r="S713" s="153"/>
    </row>
    <row r="714" spans="19:19" ht="15.75" customHeight="1" x14ac:dyDescent="0.25">
      <c r="S714" s="153"/>
    </row>
    <row r="715" spans="19:19" ht="15.75" customHeight="1" x14ac:dyDescent="0.25">
      <c r="S715" s="153"/>
    </row>
    <row r="716" spans="19:19" ht="15.75" customHeight="1" x14ac:dyDescent="0.25">
      <c r="S716" s="153"/>
    </row>
    <row r="717" spans="19:19" ht="15.75" customHeight="1" x14ac:dyDescent="0.25">
      <c r="S717" s="153"/>
    </row>
    <row r="718" spans="19:19" ht="15.75" customHeight="1" x14ac:dyDescent="0.25">
      <c r="S718" s="153"/>
    </row>
    <row r="719" spans="19:19" ht="15.75" customHeight="1" x14ac:dyDescent="0.25">
      <c r="S719" s="153"/>
    </row>
    <row r="720" spans="19:19" ht="15.75" customHeight="1" x14ac:dyDescent="0.25">
      <c r="S720" s="153"/>
    </row>
    <row r="721" spans="19:19" ht="15.75" customHeight="1" x14ac:dyDescent="0.25">
      <c r="S721" s="153"/>
    </row>
    <row r="722" spans="19:19" ht="15.75" customHeight="1" x14ac:dyDescent="0.25">
      <c r="S722" s="153"/>
    </row>
    <row r="723" spans="19:19" ht="15.75" customHeight="1" x14ac:dyDescent="0.25">
      <c r="S723" s="153"/>
    </row>
    <row r="724" spans="19:19" ht="15.75" customHeight="1" x14ac:dyDescent="0.25">
      <c r="S724" s="153"/>
    </row>
    <row r="725" spans="19:19" ht="15.75" customHeight="1" x14ac:dyDescent="0.25">
      <c r="S725" s="153"/>
    </row>
    <row r="726" spans="19:19" ht="15.75" customHeight="1" x14ac:dyDescent="0.25">
      <c r="S726" s="153"/>
    </row>
    <row r="727" spans="19:19" ht="15.75" customHeight="1" x14ac:dyDescent="0.25">
      <c r="S727" s="153"/>
    </row>
    <row r="728" spans="19:19" ht="15.75" customHeight="1" x14ac:dyDescent="0.25">
      <c r="S728" s="153"/>
    </row>
    <row r="729" spans="19:19" ht="15.75" customHeight="1" x14ac:dyDescent="0.25">
      <c r="S729" s="153"/>
    </row>
    <row r="730" spans="19:19" ht="15.75" customHeight="1" x14ac:dyDescent="0.25">
      <c r="S730" s="153"/>
    </row>
    <row r="731" spans="19:19" ht="15.75" customHeight="1" x14ac:dyDescent="0.25">
      <c r="S731" s="153"/>
    </row>
    <row r="732" spans="19:19" ht="15.75" customHeight="1" x14ac:dyDescent="0.25">
      <c r="S732" s="153"/>
    </row>
    <row r="733" spans="19:19" ht="15.75" customHeight="1" x14ac:dyDescent="0.25">
      <c r="S733" s="153"/>
    </row>
    <row r="734" spans="19:19" ht="15.75" customHeight="1" x14ac:dyDescent="0.25">
      <c r="S734" s="153"/>
    </row>
    <row r="735" spans="19:19" ht="15.75" customHeight="1" x14ac:dyDescent="0.25">
      <c r="S735" s="153"/>
    </row>
    <row r="736" spans="19:19" ht="15.75" customHeight="1" x14ac:dyDescent="0.25">
      <c r="S736" s="153"/>
    </row>
    <row r="737" spans="19:19" ht="15.75" customHeight="1" x14ac:dyDescent="0.25">
      <c r="S737" s="153"/>
    </row>
    <row r="738" spans="19:19" ht="15.75" customHeight="1" x14ac:dyDescent="0.25">
      <c r="S738" s="153"/>
    </row>
    <row r="739" spans="19:19" ht="15.75" customHeight="1" x14ac:dyDescent="0.25">
      <c r="S739" s="153"/>
    </row>
    <row r="740" spans="19:19" ht="15.75" customHeight="1" x14ac:dyDescent="0.25">
      <c r="S740" s="153"/>
    </row>
    <row r="741" spans="19:19" ht="15.75" customHeight="1" x14ac:dyDescent="0.25">
      <c r="S741" s="153"/>
    </row>
    <row r="742" spans="19:19" ht="15.75" customHeight="1" x14ac:dyDescent="0.25">
      <c r="S742" s="153"/>
    </row>
    <row r="743" spans="19:19" ht="15.75" customHeight="1" x14ac:dyDescent="0.25">
      <c r="S743" s="153"/>
    </row>
    <row r="744" spans="19:19" ht="15.75" customHeight="1" x14ac:dyDescent="0.25">
      <c r="S744" s="153"/>
    </row>
    <row r="745" spans="19:19" ht="15.75" customHeight="1" x14ac:dyDescent="0.25">
      <c r="S745" s="153"/>
    </row>
    <row r="746" spans="19:19" ht="15.75" customHeight="1" x14ac:dyDescent="0.25">
      <c r="S746" s="153"/>
    </row>
    <row r="747" spans="19:19" ht="15.75" customHeight="1" x14ac:dyDescent="0.25">
      <c r="S747" s="153"/>
    </row>
    <row r="748" spans="19:19" ht="15.75" customHeight="1" x14ac:dyDescent="0.25">
      <c r="S748" s="153"/>
    </row>
    <row r="749" spans="19:19" ht="15.75" customHeight="1" x14ac:dyDescent="0.25">
      <c r="S749" s="153"/>
    </row>
    <row r="750" spans="19:19" ht="15.75" customHeight="1" x14ac:dyDescent="0.25">
      <c r="S750" s="153"/>
    </row>
    <row r="751" spans="19:19" ht="15.75" customHeight="1" x14ac:dyDescent="0.25">
      <c r="S751" s="153"/>
    </row>
    <row r="752" spans="19:19" ht="15.75" customHeight="1" x14ac:dyDescent="0.25">
      <c r="S752" s="153"/>
    </row>
    <row r="753" spans="19:19" ht="15.75" customHeight="1" x14ac:dyDescent="0.25">
      <c r="S753" s="153"/>
    </row>
    <row r="754" spans="19:19" ht="15.75" customHeight="1" x14ac:dyDescent="0.25">
      <c r="S754" s="153"/>
    </row>
    <row r="755" spans="19:19" ht="15.75" customHeight="1" x14ac:dyDescent="0.25">
      <c r="S755" s="153"/>
    </row>
    <row r="756" spans="19:19" ht="15.75" customHeight="1" x14ac:dyDescent="0.25">
      <c r="S756" s="153"/>
    </row>
    <row r="757" spans="19:19" ht="15.75" customHeight="1" x14ac:dyDescent="0.25">
      <c r="S757" s="153"/>
    </row>
    <row r="758" spans="19:19" ht="15.75" customHeight="1" x14ac:dyDescent="0.25">
      <c r="S758" s="153"/>
    </row>
    <row r="759" spans="19:19" ht="15.75" customHeight="1" x14ac:dyDescent="0.25">
      <c r="S759" s="153"/>
    </row>
    <row r="760" spans="19:19" ht="15.75" customHeight="1" x14ac:dyDescent="0.25">
      <c r="S760" s="153"/>
    </row>
    <row r="761" spans="19:19" ht="15.75" customHeight="1" x14ac:dyDescent="0.25">
      <c r="S761" s="153"/>
    </row>
    <row r="762" spans="19:19" ht="15.75" customHeight="1" x14ac:dyDescent="0.25">
      <c r="S762" s="153"/>
    </row>
    <row r="763" spans="19:19" ht="15.75" customHeight="1" x14ac:dyDescent="0.25">
      <c r="S763" s="153"/>
    </row>
    <row r="764" spans="19:19" ht="15.75" customHeight="1" x14ac:dyDescent="0.25">
      <c r="S764" s="153"/>
    </row>
    <row r="765" spans="19:19" ht="15.75" customHeight="1" x14ac:dyDescent="0.25">
      <c r="S765" s="153"/>
    </row>
    <row r="766" spans="19:19" ht="15.75" customHeight="1" x14ac:dyDescent="0.25">
      <c r="S766" s="153"/>
    </row>
    <row r="767" spans="19:19" ht="15.75" customHeight="1" x14ac:dyDescent="0.25">
      <c r="S767" s="153"/>
    </row>
    <row r="768" spans="19:19" ht="15.75" customHeight="1" x14ac:dyDescent="0.25">
      <c r="S768" s="153"/>
    </row>
    <row r="769" spans="19:19" ht="15.75" customHeight="1" x14ac:dyDescent="0.25">
      <c r="S769" s="153"/>
    </row>
    <row r="770" spans="19:19" ht="15.75" customHeight="1" x14ac:dyDescent="0.25">
      <c r="S770" s="153"/>
    </row>
    <row r="771" spans="19:19" ht="15.75" customHeight="1" x14ac:dyDescent="0.25">
      <c r="S771" s="153"/>
    </row>
    <row r="772" spans="19:19" ht="15.75" customHeight="1" x14ac:dyDescent="0.25">
      <c r="S772" s="153"/>
    </row>
    <row r="773" spans="19:19" ht="15.75" customHeight="1" x14ac:dyDescent="0.25">
      <c r="S773" s="153"/>
    </row>
    <row r="774" spans="19:19" ht="15.75" customHeight="1" x14ac:dyDescent="0.25">
      <c r="S774" s="153"/>
    </row>
    <row r="775" spans="19:19" ht="15.75" customHeight="1" x14ac:dyDescent="0.25">
      <c r="S775" s="153"/>
    </row>
    <row r="776" spans="19:19" ht="15.75" customHeight="1" x14ac:dyDescent="0.25">
      <c r="S776" s="153"/>
    </row>
    <row r="777" spans="19:19" ht="15.75" customHeight="1" x14ac:dyDescent="0.25">
      <c r="S777" s="153"/>
    </row>
    <row r="778" spans="19:19" ht="15.75" customHeight="1" x14ac:dyDescent="0.25">
      <c r="S778" s="153"/>
    </row>
    <row r="779" spans="19:19" ht="15.75" customHeight="1" x14ac:dyDescent="0.25">
      <c r="S779" s="153"/>
    </row>
    <row r="780" spans="19:19" ht="15.75" customHeight="1" x14ac:dyDescent="0.25">
      <c r="S780" s="153"/>
    </row>
    <row r="781" spans="19:19" ht="15.75" customHeight="1" x14ac:dyDescent="0.25">
      <c r="S781" s="153"/>
    </row>
    <row r="782" spans="19:19" ht="15.75" customHeight="1" x14ac:dyDescent="0.25">
      <c r="S782" s="153"/>
    </row>
    <row r="783" spans="19:19" ht="15.75" customHeight="1" x14ac:dyDescent="0.25">
      <c r="S783" s="153"/>
    </row>
    <row r="784" spans="19:19" ht="15.75" customHeight="1" x14ac:dyDescent="0.25">
      <c r="S784" s="153"/>
    </row>
    <row r="785" spans="19:19" ht="15.75" customHeight="1" x14ac:dyDescent="0.25">
      <c r="S785" s="153"/>
    </row>
    <row r="786" spans="19:19" ht="15.75" customHeight="1" x14ac:dyDescent="0.25">
      <c r="S786" s="153"/>
    </row>
    <row r="787" spans="19:19" ht="15.75" customHeight="1" x14ac:dyDescent="0.25">
      <c r="S787" s="153"/>
    </row>
    <row r="788" spans="19:19" ht="15.75" customHeight="1" x14ac:dyDescent="0.25">
      <c r="S788" s="153"/>
    </row>
    <row r="789" spans="19:19" ht="15.75" customHeight="1" x14ac:dyDescent="0.25">
      <c r="S789" s="153"/>
    </row>
    <row r="790" spans="19:19" ht="15.75" customHeight="1" x14ac:dyDescent="0.25">
      <c r="S790" s="153"/>
    </row>
    <row r="791" spans="19:19" ht="15.75" customHeight="1" x14ac:dyDescent="0.25">
      <c r="S791" s="153"/>
    </row>
    <row r="792" spans="19:19" ht="15.75" customHeight="1" x14ac:dyDescent="0.25">
      <c r="S792" s="153"/>
    </row>
    <row r="793" spans="19:19" ht="15.75" customHeight="1" x14ac:dyDescent="0.25">
      <c r="S793" s="153"/>
    </row>
    <row r="794" spans="19:19" ht="15.75" customHeight="1" x14ac:dyDescent="0.25">
      <c r="S794" s="153"/>
    </row>
    <row r="795" spans="19:19" ht="15.75" customHeight="1" x14ac:dyDescent="0.25">
      <c r="S795" s="153"/>
    </row>
    <row r="796" spans="19:19" ht="15.75" customHeight="1" x14ac:dyDescent="0.25">
      <c r="S796" s="153"/>
    </row>
    <row r="797" spans="19:19" ht="15.75" customHeight="1" x14ac:dyDescent="0.25">
      <c r="S797" s="153"/>
    </row>
    <row r="798" spans="19:19" ht="15.75" customHeight="1" x14ac:dyDescent="0.25">
      <c r="S798" s="153"/>
    </row>
    <row r="799" spans="19:19" ht="15.75" customHeight="1" x14ac:dyDescent="0.25">
      <c r="S799" s="153"/>
    </row>
    <row r="800" spans="19:19" ht="15.75" customHeight="1" x14ac:dyDescent="0.25">
      <c r="S800" s="153"/>
    </row>
    <row r="801" spans="19:19" ht="15.75" customHeight="1" x14ac:dyDescent="0.25">
      <c r="S801" s="153"/>
    </row>
    <row r="802" spans="19:19" ht="15.75" customHeight="1" x14ac:dyDescent="0.25">
      <c r="S802" s="153"/>
    </row>
    <row r="803" spans="19:19" ht="15.75" customHeight="1" x14ac:dyDescent="0.25">
      <c r="S803" s="153"/>
    </row>
    <row r="804" spans="19:19" ht="15.75" customHeight="1" x14ac:dyDescent="0.25">
      <c r="S804" s="153"/>
    </row>
    <row r="805" spans="19:19" ht="15.75" customHeight="1" x14ac:dyDescent="0.25">
      <c r="S805" s="153"/>
    </row>
    <row r="806" spans="19:19" ht="15.75" customHeight="1" x14ac:dyDescent="0.25">
      <c r="S806" s="153"/>
    </row>
    <row r="807" spans="19:19" ht="15.75" customHeight="1" x14ac:dyDescent="0.25">
      <c r="S807" s="153"/>
    </row>
    <row r="808" spans="19:19" ht="15.75" customHeight="1" x14ac:dyDescent="0.25">
      <c r="S808" s="153"/>
    </row>
    <row r="809" spans="19:19" ht="15.75" customHeight="1" x14ac:dyDescent="0.25">
      <c r="S809" s="153"/>
    </row>
    <row r="810" spans="19:19" ht="15.75" customHeight="1" x14ac:dyDescent="0.25">
      <c r="S810" s="153"/>
    </row>
    <row r="811" spans="19:19" ht="15.75" customHeight="1" x14ac:dyDescent="0.25">
      <c r="S811" s="153"/>
    </row>
    <row r="812" spans="19:19" ht="15.75" customHeight="1" x14ac:dyDescent="0.25">
      <c r="S812" s="153"/>
    </row>
    <row r="813" spans="19:19" ht="15.75" customHeight="1" x14ac:dyDescent="0.25">
      <c r="S813" s="153"/>
    </row>
    <row r="814" spans="19:19" ht="15.75" customHeight="1" x14ac:dyDescent="0.25">
      <c r="S814" s="153"/>
    </row>
    <row r="815" spans="19:19" ht="15.75" customHeight="1" x14ac:dyDescent="0.25">
      <c r="S815" s="153"/>
    </row>
    <row r="816" spans="19:19" ht="15.75" customHeight="1" x14ac:dyDescent="0.25">
      <c r="S816" s="153"/>
    </row>
    <row r="817" spans="19:19" ht="15.75" customHeight="1" x14ac:dyDescent="0.25">
      <c r="S817" s="153"/>
    </row>
    <row r="818" spans="19:19" ht="15.75" customHeight="1" x14ac:dyDescent="0.25">
      <c r="S818" s="153"/>
    </row>
    <row r="819" spans="19:19" ht="15.75" customHeight="1" x14ac:dyDescent="0.25">
      <c r="S819" s="153"/>
    </row>
    <row r="820" spans="19:19" ht="15.75" customHeight="1" x14ac:dyDescent="0.25">
      <c r="S820" s="153"/>
    </row>
    <row r="821" spans="19:19" ht="15.75" customHeight="1" x14ac:dyDescent="0.25">
      <c r="S821" s="153"/>
    </row>
    <row r="822" spans="19:19" ht="15.75" customHeight="1" x14ac:dyDescent="0.25">
      <c r="S822" s="153"/>
    </row>
    <row r="823" spans="19:19" ht="15.75" customHeight="1" x14ac:dyDescent="0.25">
      <c r="S823" s="153"/>
    </row>
    <row r="824" spans="19:19" ht="15.75" customHeight="1" x14ac:dyDescent="0.25">
      <c r="S824" s="153"/>
    </row>
    <row r="825" spans="19:19" ht="15.75" customHeight="1" x14ac:dyDescent="0.25">
      <c r="S825" s="153"/>
    </row>
    <row r="826" spans="19:19" ht="15.75" customHeight="1" x14ac:dyDescent="0.25">
      <c r="S826" s="153"/>
    </row>
    <row r="827" spans="19:19" ht="15.75" customHeight="1" x14ac:dyDescent="0.25">
      <c r="S827" s="153"/>
    </row>
    <row r="828" spans="19:19" ht="15.75" customHeight="1" x14ac:dyDescent="0.25">
      <c r="S828" s="153"/>
    </row>
    <row r="829" spans="19:19" ht="15.75" customHeight="1" x14ac:dyDescent="0.25">
      <c r="S829" s="153"/>
    </row>
    <row r="830" spans="19:19" ht="15.75" customHeight="1" x14ac:dyDescent="0.25">
      <c r="S830" s="153"/>
    </row>
    <row r="831" spans="19:19" ht="15.75" customHeight="1" x14ac:dyDescent="0.25">
      <c r="S831" s="153"/>
    </row>
    <row r="832" spans="19:19" ht="15.75" customHeight="1" x14ac:dyDescent="0.25">
      <c r="S832" s="153"/>
    </row>
    <row r="833" spans="19:19" ht="15.75" customHeight="1" x14ac:dyDescent="0.25">
      <c r="S833" s="153"/>
    </row>
    <row r="834" spans="19:19" ht="15.75" customHeight="1" x14ac:dyDescent="0.25">
      <c r="S834" s="153"/>
    </row>
    <row r="835" spans="19:19" ht="15.75" customHeight="1" x14ac:dyDescent="0.25">
      <c r="S835" s="153"/>
    </row>
    <row r="836" spans="19:19" ht="15.75" customHeight="1" x14ac:dyDescent="0.25">
      <c r="S836" s="153"/>
    </row>
    <row r="837" spans="19:19" ht="15.75" customHeight="1" x14ac:dyDescent="0.25">
      <c r="S837" s="153"/>
    </row>
    <row r="838" spans="19:19" ht="15.75" customHeight="1" x14ac:dyDescent="0.25">
      <c r="S838" s="153"/>
    </row>
    <row r="839" spans="19:19" ht="15.75" customHeight="1" x14ac:dyDescent="0.25">
      <c r="S839" s="153"/>
    </row>
    <row r="840" spans="19:19" ht="15.75" customHeight="1" x14ac:dyDescent="0.25">
      <c r="S840" s="153"/>
    </row>
    <row r="841" spans="19:19" ht="15.75" customHeight="1" x14ac:dyDescent="0.25">
      <c r="S841" s="153"/>
    </row>
    <row r="842" spans="19:19" ht="15.75" customHeight="1" x14ac:dyDescent="0.25">
      <c r="S842" s="153"/>
    </row>
    <row r="843" spans="19:19" ht="15.75" customHeight="1" x14ac:dyDescent="0.25">
      <c r="S843" s="153"/>
    </row>
    <row r="844" spans="19:19" ht="15.75" customHeight="1" x14ac:dyDescent="0.25">
      <c r="S844" s="153"/>
    </row>
    <row r="845" spans="19:19" ht="15.75" customHeight="1" x14ac:dyDescent="0.25">
      <c r="S845" s="153"/>
    </row>
    <row r="846" spans="19:19" ht="15.75" customHeight="1" x14ac:dyDescent="0.25">
      <c r="S846" s="153"/>
    </row>
    <row r="847" spans="19:19" ht="15.75" customHeight="1" x14ac:dyDescent="0.25">
      <c r="S847" s="153"/>
    </row>
    <row r="848" spans="19:19" ht="15.75" customHeight="1" x14ac:dyDescent="0.25">
      <c r="S848" s="153"/>
    </row>
    <row r="849" spans="19:19" ht="15.75" customHeight="1" x14ac:dyDescent="0.25">
      <c r="S849" s="153"/>
    </row>
    <row r="850" spans="19:19" ht="15.75" customHeight="1" x14ac:dyDescent="0.25">
      <c r="S850" s="153"/>
    </row>
    <row r="851" spans="19:19" ht="15.75" customHeight="1" x14ac:dyDescent="0.25">
      <c r="S851" s="153"/>
    </row>
    <row r="852" spans="19:19" ht="15.75" customHeight="1" x14ac:dyDescent="0.25">
      <c r="S852" s="153"/>
    </row>
    <row r="853" spans="19:19" ht="15.75" customHeight="1" x14ac:dyDescent="0.25">
      <c r="S853" s="153"/>
    </row>
    <row r="854" spans="19:19" ht="15.75" customHeight="1" x14ac:dyDescent="0.25">
      <c r="S854" s="153"/>
    </row>
    <row r="855" spans="19:19" ht="15.75" customHeight="1" x14ac:dyDescent="0.25">
      <c r="S855" s="153"/>
    </row>
    <row r="856" spans="19:19" ht="15.75" customHeight="1" x14ac:dyDescent="0.25">
      <c r="S856" s="153"/>
    </row>
    <row r="857" spans="19:19" ht="15.75" customHeight="1" x14ac:dyDescent="0.25">
      <c r="S857" s="153"/>
    </row>
    <row r="858" spans="19:19" ht="15.75" customHeight="1" x14ac:dyDescent="0.25">
      <c r="S858" s="153"/>
    </row>
    <row r="859" spans="19:19" ht="15.75" customHeight="1" x14ac:dyDescent="0.25">
      <c r="S859" s="153"/>
    </row>
    <row r="860" spans="19:19" ht="15.75" customHeight="1" x14ac:dyDescent="0.25">
      <c r="S860" s="153"/>
    </row>
    <row r="861" spans="19:19" ht="15.75" customHeight="1" x14ac:dyDescent="0.25">
      <c r="S861" s="153"/>
    </row>
    <row r="862" spans="19:19" ht="15.75" customHeight="1" x14ac:dyDescent="0.25">
      <c r="S862" s="153"/>
    </row>
    <row r="863" spans="19:19" ht="15.75" customHeight="1" x14ac:dyDescent="0.25">
      <c r="S863" s="153"/>
    </row>
    <row r="864" spans="19:19" ht="15.75" customHeight="1" x14ac:dyDescent="0.25">
      <c r="S864" s="153"/>
    </row>
    <row r="865" spans="19:19" ht="15.75" customHeight="1" x14ac:dyDescent="0.25">
      <c r="S865" s="153"/>
    </row>
    <row r="866" spans="19:19" ht="15.75" customHeight="1" x14ac:dyDescent="0.25">
      <c r="S866" s="153"/>
    </row>
    <row r="867" spans="19:19" ht="15.75" customHeight="1" x14ac:dyDescent="0.25">
      <c r="S867" s="153"/>
    </row>
    <row r="868" spans="19:19" ht="15.75" customHeight="1" x14ac:dyDescent="0.25">
      <c r="S868" s="153"/>
    </row>
    <row r="869" spans="19:19" ht="15.75" customHeight="1" x14ac:dyDescent="0.25">
      <c r="S869" s="153"/>
    </row>
    <row r="870" spans="19:19" ht="15.75" customHeight="1" x14ac:dyDescent="0.25">
      <c r="S870" s="153"/>
    </row>
    <row r="871" spans="19:19" ht="15.75" customHeight="1" x14ac:dyDescent="0.25">
      <c r="S871" s="153"/>
    </row>
    <row r="872" spans="19:19" ht="15.75" customHeight="1" x14ac:dyDescent="0.25">
      <c r="S872" s="153"/>
    </row>
    <row r="873" spans="19:19" ht="15.75" customHeight="1" x14ac:dyDescent="0.25">
      <c r="S873" s="153"/>
    </row>
    <row r="874" spans="19:19" ht="15.75" customHeight="1" x14ac:dyDescent="0.25">
      <c r="S874" s="153"/>
    </row>
    <row r="875" spans="19:19" ht="15.75" customHeight="1" x14ac:dyDescent="0.25">
      <c r="S875" s="153"/>
    </row>
    <row r="876" spans="19:19" ht="15.75" customHeight="1" x14ac:dyDescent="0.25">
      <c r="S876" s="153"/>
    </row>
    <row r="877" spans="19:19" ht="15.75" customHeight="1" x14ac:dyDescent="0.25">
      <c r="S877" s="153"/>
    </row>
    <row r="878" spans="19:19" ht="15.75" customHeight="1" x14ac:dyDescent="0.25">
      <c r="S878" s="153"/>
    </row>
    <row r="879" spans="19:19" ht="15.75" customHeight="1" x14ac:dyDescent="0.25">
      <c r="S879" s="153"/>
    </row>
    <row r="880" spans="19:19" ht="15.75" customHeight="1" x14ac:dyDescent="0.25">
      <c r="S880" s="153"/>
    </row>
    <row r="881" spans="19:19" ht="15.75" customHeight="1" x14ac:dyDescent="0.25">
      <c r="S881" s="153"/>
    </row>
    <row r="882" spans="19:19" ht="15.75" customHeight="1" x14ac:dyDescent="0.25">
      <c r="S882" s="153"/>
    </row>
    <row r="883" spans="19:19" ht="15.75" customHeight="1" x14ac:dyDescent="0.25">
      <c r="S883" s="153"/>
    </row>
    <row r="884" spans="19:19" ht="15.75" customHeight="1" x14ac:dyDescent="0.25">
      <c r="S884" s="153"/>
    </row>
    <row r="885" spans="19:19" ht="15.75" customHeight="1" x14ac:dyDescent="0.25">
      <c r="S885" s="153"/>
    </row>
    <row r="886" spans="19:19" ht="15.75" customHeight="1" x14ac:dyDescent="0.25">
      <c r="S886" s="153"/>
    </row>
    <row r="887" spans="19:19" ht="15.75" customHeight="1" x14ac:dyDescent="0.25">
      <c r="S887" s="153"/>
    </row>
    <row r="888" spans="19:19" ht="15.75" customHeight="1" x14ac:dyDescent="0.25">
      <c r="S888" s="153"/>
    </row>
    <row r="889" spans="19:19" ht="15.75" customHeight="1" x14ac:dyDescent="0.25">
      <c r="S889" s="153"/>
    </row>
    <row r="890" spans="19:19" ht="15.75" customHeight="1" x14ac:dyDescent="0.25">
      <c r="S890" s="153"/>
    </row>
    <row r="891" spans="19:19" ht="15.75" customHeight="1" x14ac:dyDescent="0.25">
      <c r="S891" s="153"/>
    </row>
    <row r="892" spans="19:19" ht="15.75" customHeight="1" x14ac:dyDescent="0.25">
      <c r="S892" s="153"/>
    </row>
    <row r="893" spans="19:19" ht="15.75" customHeight="1" x14ac:dyDescent="0.25">
      <c r="S893" s="153"/>
    </row>
    <row r="894" spans="19:19" ht="15.75" customHeight="1" x14ac:dyDescent="0.25">
      <c r="S894" s="153"/>
    </row>
    <row r="895" spans="19:19" ht="15.75" customHeight="1" x14ac:dyDescent="0.25">
      <c r="S895" s="153"/>
    </row>
    <row r="896" spans="19:19" ht="15.75" customHeight="1" x14ac:dyDescent="0.25">
      <c r="S896" s="153"/>
    </row>
    <row r="897" spans="19:19" ht="15.75" customHeight="1" x14ac:dyDescent="0.25">
      <c r="S897" s="153"/>
    </row>
    <row r="898" spans="19:19" ht="15.75" customHeight="1" x14ac:dyDescent="0.25">
      <c r="S898" s="153"/>
    </row>
    <row r="899" spans="19:19" ht="15.75" customHeight="1" x14ac:dyDescent="0.25">
      <c r="S899" s="153"/>
    </row>
    <row r="900" spans="19:19" ht="15.75" customHeight="1" x14ac:dyDescent="0.25">
      <c r="S900" s="153"/>
    </row>
    <row r="901" spans="19:19" ht="15.75" customHeight="1" x14ac:dyDescent="0.25">
      <c r="S901" s="153"/>
    </row>
    <row r="902" spans="19:19" ht="15.75" customHeight="1" x14ac:dyDescent="0.25">
      <c r="S902" s="153"/>
    </row>
    <row r="903" spans="19:19" ht="15.75" customHeight="1" x14ac:dyDescent="0.25">
      <c r="S903" s="153"/>
    </row>
    <row r="904" spans="19:19" ht="15.75" customHeight="1" x14ac:dyDescent="0.25">
      <c r="S904" s="153"/>
    </row>
    <row r="905" spans="19:19" ht="15.75" customHeight="1" x14ac:dyDescent="0.25">
      <c r="S905" s="153"/>
    </row>
    <row r="906" spans="19:19" ht="15.75" customHeight="1" x14ac:dyDescent="0.25">
      <c r="S906" s="153"/>
    </row>
    <row r="907" spans="19:19" ht="15.75" customHeight="1" x14ac:dyDescent="0.25">
      <c r="S907" s="153"/>
    </row>
    <row r="908" spans="19:19" ht="15.75" customHeight="1" x14ac:dyDescent="0.25">
      <c r="S908" s="153"/>
    </row>
    <row r="909" spans="19:19" ht="15.75" customHeight="1" x14ac:dyDescent="0.25">
      <c r="S909" s="153"/>
    </row>
    <row r="910" spans="19:19" ht="15.75" customHeight="1" x14ac:dyDescent="0.25">
      <c r="S910" s="153"/>
    </row>
    <row r="911" spans="19:19" ht="15.75" customHeight="1" x14ac:dyDescent="0.25">
      <c r="S911" s="153"/>
    </row>
    <row r="912" spans="19:19" ht="15.75" customHeight="1" x14ac:dyDescent="0.25">
      <c r="S912" s="153"/>
    </row>
    <row r="913" spans="19:19" ht="15.75" customHeight="1" x14ac:dyDescent="0.25">
      <c r="S913" s="153"/>
    </row>
    <row r="914" spans="19:19" ht="15.75" customHeight="1" x14ac:dyDescent="0.25">
      <c r="S914" s="153"/>
    </row>
    <row r="915" spans="19:19" ht="15.75" customHeight="1" x14ac:dyDescent="0.25">
      <c r="S915" s="153"/>
    </row>
    <row r="916" spans="19:19" ht="15.75" customHeight="1" x14ac:dyDescent="0.25">
      <c r="S916" s="153"/>
    </row>
    <row r="917" spans="19:19" ht="15.75" customHeight="1" x14ac:dyDescent="0.25">
      <c r="S917" s="153"/>
    </row>
    <row r="918" spans="19:19" ht="15.75" customHeight="1" x14ac:dyDescent="0.25">
      <c r="S918" s="153"/>
    </row>
    <row r="919" spans="19:19" ht="15.75" customHeight="1" x14ac:dyDescent="0.25">
      <c r="S919" s="153"/>
    </row>
    <row r="920" spans="19:19" ht="15.75" customHeight="1" x14ac:dyDescent="0.25">
      <c r="S920" s="153"/>
    </row>
    <row r="921" spans="19:19" ht="15.75" customHeight="1" x14ac:dyDescent="0.25">
      <c r="S921" s="153"/>
    </row>
    <row r="922" spans="19:19" ht="15.75" customHeight="1" x14ac:dyDescent="0.25">
      <c r="S922" s="153"/>
    </row>
    <row r="923" spans="19:19" ht="15.75" customHeight="1" x14ac:dyDescent="0.25">
      <c r="S923" s="153"/>
    </row>
    <row r="924" spans="19:19" ht="15.75" customHeight="1" x14ac:dyDescent="0.25">
      <c r="S924" s="153"/>
    </row>
    <row r="925" spans="19:19" ht="15.75" customHeight="1" x14ac:dyDescent="0.25">
      <c r="S925" s="153"/>
    </row>
    <row r="926" spans="19:19" ht="15.75" customHeight="1" x14ac:dyDescent="0.25">
      <c r="S926" s="153"/>
    </row>
    <row r="927" spans="19:19" ht="15.75" customHeight="1" x14ac:dyDescent="0.25">
      <c r="S927" s="153"/>
    </row>
  </sheetData>
  <mergeCells count="18">
    <mergeCell ref="BB1:BD1"/>
    <mergeCell ref="BE1:BG1"/>
    <mergeCell ref="AJ1:AL1"/>
    <mergeCell ref="AM1:AO1"/>
    <mergeCell ref="AP1:AR1"/>
    <mergeCell ref="AS1:AU1"/>
    <mergeCell ref="AV1:AX1"/>
    <mergeCell ref="AY1:BA1"/>
    <mergeCell ref="AG1:AI1"/>
    <mergeCell ref="U1:W1"/>
    <mergeCell ref="X1:Z1"/>
    <mergeCell ref="AA1:AC1"/>
    <mergeCell ref="AD1:AF1"/>
    <mergeCell ref="E1:H1"/>
    <mergeCell ref="I1:K1"/>
    <mergeCell ref="L1:N1"/>
    <mergeCell ref="O1:Q1"/>
    <mergeCell ref="R1:T1"/>
  </mergeCells>
  <conditionalFormatting sqref="R68:T68 R3:T36 R55:T66 R74:T102 R38:T52">
    <cfRule type="cellIs" dxfId="14" priority="6" operator="between">
      <formula>"0%"</formula>
      <formula>"25%"</formula>
    </cfRule>
  </conditionalFormatting>
  <conditionalFormatting sqref="R68:T68 R3:T36 R55:T66 R74:T102 R38:T52">
    <cfRule type="cellIs" dxfId="13" priority="7" operator="between">
      <formula>"25.01%"</formula>
      <formula>"50%"</formula>
    </cfRule>
  </conditionalFormatting>
  <conditionalFormatting sqref="R68:T68 R3:T36 R55:T66 R74:T102 R38:T52">
    <cfRule type="cellIs" dxfId="12" priority="8" operator="between">
      <formula>"50.01%"</formula>
      <formula>"75%"</formula>
    </cfRule>
  </conditionalFormatting>
  <conditionalFormatting sqref="R68:T68 R3:T36 R55:T66 R74:T102 R38:T52">
    <cfRule type="cellIs" dxfId="11" priority="9" operator="between">
      <formula>"75.01%"</formula>
      <formula>"99.99%"</formula>
    </cfRule>
  </conditionalFormatting>
  <conditionalFormatting sqref="R68:T68 R3:T36 R55:T66 R74:T102 R38:T52">
    <cfRule type="cellIs" dxfId="10" priority="10" operator="greaterThanOrEqual">
      <formula>"100%"</formula>
    </cfRule>
  </conditionalFormatting>
  <conditionalFormatting sqref="R70:T72">
    <cfRule type="cellIs" dxfId="9" priority="11" operator="between">
      <formula>"0%"</formula>
      <formula>"25%"</formula>
    </cfRule>
  </conditionalFormatting>
  <conditionalFormatting sqref="R70:T72">
    <cfRule type="cellIs" dxfId="8" priority="12" operator="between">
      <formula>"25.01%"</formula>
      <formula>"50%"</formula>
    </cfRule>
  </conditionalFormatting>
  <conditionalFormatting sqref="R70:T72">
    <cfRule type="cellIs" dxfId="7" priority="13" operator="between">
      <formula>"50.01%"</formula>
      <formula>"75%"</formula>
    </cfRule>
  </conditionalFormatting>
  <conditionalFormatting sqref="R70:T72">
    <cfRule type="cellIs" dxfId="6" priority="14" operator="between">
      <formula>"75.01%"</formula>
      <formula>"99.99%"</formula>
    </cfRule>
  </conditionalFormatting>
  <conditionalFormatting sqref="R70:T72">
    <cfRule type="cellIs" dxfId="5" priority="15" operator="greaterThanOrEqual">
      <formula>"100%"</formula>
    </cfRule>
  </conditionalFormatting>
  <conditionalFormatting sqref="R53:T54">
    <cfRule type="cellIs" dxfId="4" priority="1" operator="between">
      <formula>"0%"</formula>
      <formula>"25%"</formula>
    </cfRule>
  </conditionalFormatting>
  <conditionalFormatting sqref="R53:T54">
    <cfRule type="cellIs" dxfId="3" priority="2" operator="between">
      <formula>"25.01%"</formula>
      <formula>"50%"</formula>
    </cfRule>
  </conditionalFormatting>
  <conditionalFormatting sqref="R53:T54">
    <cfRule type="cellIs" dxfId="2" priority="3" operator="between">
      <formula>"50.01%"</formula>
      <formula>"75%"</formula>
    </cfRule>
  </conditionalFormatting>
  <conditionalFormatting sqref="R53:T54">
    <cfRule type="cellIs" dxfId="1" priority="4" operator="between">
      <formula>"75.01%"</formula>
      <formula>"99.99%"</formula>
    </cfRule>
  </conditionalFormatting>
  <conditionalFormatting sqref="R53:T54">
    <cfRule type="cellIs" dxfId="0" priority="5" operator="greaterThanOrEqual">
      <formula>"100%"</formula>
    </cfRule>
  </conditionalFormatting>
  <pageMargins left="0.78749999999999998" right="0.78749999999999998" top="0.51180555555555496" bottom="0.51180555555555496" header="0" footer="0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PUBL.SET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 Contabil</dc:creator>
  <cp:lastModifiedBy>Setor Contabil</cp:lastModifiedBy>
  <dcterms:created xsi:type="dcterms:W3CDTF">2021-10-13T01:32:14Z</dcterms:created>
  <dcterms:modified xsi:type="dcterms:W3CDTF">2021-10-15T22:34:57Z</dcterms:modified>
</cp:coreProperties>
</file>