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320" windowWidth="19200" windowHeight="5145"/>
  </bookViews>
  <sheets>
    <sheet name="PUBLIC.DEZ21" sheetId="2" r:id="rId1"/>
  </sheets>
  <calcPr calcId="144525"/>
</workbook>
</file>

<file path=xl/calcChain.xml><?xml version="1.0" encoding="utf-8"?>
<calcChain xmlns="http://schemas.openxmlformats.org/spreadsheetml/2006/main">
  <c r="K39" i="2" l="1"/>
  <c r="K45" i="2"/>
  <c r="K44" i="2"/>
  <c r="AX51" i="2" l="1"/>
  <c r="AQ51" i="2"/>
  <c r="AK51" i="2"/>
  <c r="AI51" i="2"/>
  <c r="AF51" i="2"/>
  <c r="AC51" i="2"/>
  <c r="AB51" i="2"/>
  <c r="W51" i="2"/>
  <c r="T51" i="2"/>
  <c r="G59" i="2" l="1"/>
  <c r="P59" i="2" s="1"/>
  <c r="H59" i="2"/>
  <c r="Q59" i="2" s="1"/>
  <c r="I59" i="2"/>
  <c r="R59" i="2" s="1"/>
  <c r="J59" i="2"/>
  <c r="K59" i="2"/>
  <c r="L59" i="2"/>
  <c r="G60" i="2"/>
  <c r="P60" i="2" s="1"/>
  <c r="H60" i="2"/>
  <c r="N60" i="2" s="1"/>
  <c r="I60" i="2"/>
  <c r="R60" i="2" s="1"/>
  <c r="J60" i="2"/>
  <c r="K60" i="2"/>
  <c r="L60" i="2"/>
  <c r="G77" i="2"/>
  <c r="M77" i="2" s="1"/>
  <c r="H77" i="2"/>
  <c r="Q77" i="2" s="1"/>
  <c r="I77" i="2"/>
  <c r="R77" i="2" s="1"/>
  <c r="J77" i="2"/>
  <c r="K77" i="2"/>
  <c r="L77" i="2"/>
  <c r="G78" i="2"/>
  <c r="M78" i="2" s="1"/>
  <c r="H78" i="2"/>
  <c r="Q78" i="2" s="1"/>
  <c r="I78" i="2"/>
  <c r="O78" i="2" s="1"/>
  <c r="J78" i="2"/>
  <c r="K78" i="2"/>
  <c r="L78" i="2"/>
  <c r="G79" i="2"/>
  <c r="M79" i="2" s="1"/>
  <c r="H79" i="2"/>
  <c r="Q79" i="2" s="1"/>
  <c r="I79" i="2"/>
  <c r="R79" i="2" s="1"/>
  <c r="J79" i="2"/>
  <c r="K79" i="2"/>
  <c r="L79" i="2"/>
  <c r="G82" i="2"/>
  <c r="M82" i="2" s="1"/>
  <c r="H82" i="2"/>
  <c r="N82" i="2" s="1"/>
  <c r="I82" i="2"/>
  <c r="O82" i="2" s="1"/>
  <c r="J82" i="2"/>
  <c r="K82" i="2"/>
  <c r="L82" i="2"/>
  <c r="Q82" i="2"/>
  <c r="G83" i="2"/>
  <c r="M83" i="2" s="1"/>
  <c r="H83" i="2"/>
  <c r="N83" i="2" s="1"/>
  <c r="I83" i="2"/>
  <c r="O83" i="2" s="1"/>
  <c r="J83" i="2"/>
  <c r="K83" i="2"/>
  <c r="L83" i="2"/>
  <c r="G84" i="2"/>
  <c r="P84" i="2" s="1"/>
  <c r="H84" i="2"/>
  <c r="N84" i="2" s="1"/>
  <c r="I84" i="2"/>
  <c r="O84" i="2" s="1"/>
  <c r="J84" i="2"/>
  <c r="K84" i="2"/>
  <c r="L84" i="2"/>
  <c r="G85" i="2"/>
  <c r="P85" i="2" s="1"/>
  <c r="H85" i="2"/>
  <c r="N85" i="2" s="1"/>
  <c r="I85" i="2"/>
  <c r="O85" i="2" s="1"/>
  <c r="J85" i="2"/>
  <c r="K85" i="2"/>
  <c r="L85" i="2"/>
  <c r="G86" i="2"/>
  <c r="M86" i="2" s="1"/>
  <c r="H86" i="2"/>
  <c r="N86" i="2" s="1"/>
  <c r="I86" i="2"/>
  <c r="O86" i="2" s="1"/>
  <c r="J86" i="2"/>
  <c r="K86" i="2"/>
  <c r="L86" i="2"/>
  <c r="P79" i="2" l="1"/>
  <c r="O60" i="2"/>
  <c r="N59" i="2"/>
  <c r="Q60" i="2"/>
  <c r="P83" i="2"/>
  <c r="M85" i="2"/>
  <c r="M84" i="2"/>
  <c r="Q86" i="2"/>
  <c r="P77" i="2"/>
  <c r="O79" i="2"/>
  <c r="N77" i="2"/>
  <c r="O59" i="2"/>
  <c r="O77" i="2"/>
  <c r="R78" i="2"/>
  <c r="M60" i="2"/>
  <c r="M59" i="2"/>
  <c r="Q83" i="2"/>
  <c r="P78" i="2"/>
  <c r="P86" i="2"/>
  <c r="Q85" i="2"/>
  <c r="P82" i="2"/>
  <c r="N79" i="2"/>
  <c r="N78" i="2"/>
  <c r="Q84" i="2"/>
  <c r="R86" i="2"/>
  <c r="R85" i="2"/>
  <c r="R84" i="2"/>
  <c r="R83" i="2"/>
  <c r="R82" i="2"/>
  <c r="C105" i="2"/>
  <c r="BA97" i="2" l="1"/>
  <c r="C91" i="2" l="1"/>
  <c r="C36" i="2" l="1"/>
  <c r="D36" i="2"/>
  <c r="L99" i="2" l="1"/>
  <c r="K99" i="2"/>
  <c r="J99" i="2"/>
  <c r="I99" i="2"/>
  <c r="O99" i="2" s="1"/>
  <c r="H99" i="2"/>
  <c r="N99" i="2" s="1"/>
  <c r="G99" i="2"/>
  <c r="M99" i="2" s="1"/>
  <c r="F107" i="2"/>
  <c r="F41" i="2"/>
  <c r="C44" i="2" l="1"/>
  <c r="L100" i="2" l="1"/>
  <c r="K100" i="2"/>
  <c r="J100" i="2"/>
  <c r="I100" i="2"/>
  <c r="O100" i="2" s="1"/>
  <c r="H100" i="2"/>
  <c r="N100" i="2" s="1"/>
  <c r="G100" i="2"/>
  <c r="M100" i="2" s="1"/>
  <c r="L76" i="2"/>
  <c r="K76" i="2"/>
  <c r="J76" i="2"/>
  <c r="I76" i="2"/>
  <c r="H76" i="2"/>
  <c r="N76" i="2" s="1"/>
  <c r="G76" i="2"/>
  <c r="P76" i="2" s="1"/>
  <c r="Q76" i="2" l="1"/>
  <c r="M76" i="2"/>
  <c r="AZ14" i="2" l="1"/>
  <c r="AZ65" i="2"/>
  <c r="C67" i="2"/>
  <c r="C65" i="2"/>
  <c r="C64" i="2" l="1"/>
  <c r="L127" i="2"/>
  <c r="K127" i="2"/>
  <c r="J127" i="2"/>
  <c r="J41" i="2"/>
  <c r="AZ64" i="2"/>
  <c r="BA51" i="2"/>
  <c r="AZ51" i="2"/>
  <c r="BA11" i="2"/>
  <c r="BB133" i="2"/>
  <c r="BB108" i="2" l="1"/>
  <c r="AZ36" i="2"/>
  <c r="AZ11" i="2" s="1"/>
  <c r="L45" i="2" l="1"/>
  <c r="J45" i="2"/>
  <c r="I45" i="2"/>
  <c r="H45" i="2"/>
  <c r="N45" i="2" s="1"/>
  <c r="G45" i="2"/>
  <c r="P45" i="2" s="1"/>
  <c r="M45" i="2" l="1"/>
  <c r="Q45" i="2"/>
  <c r="F76" i="2" l="1"/>
  <c r="F45" i="2"/>
  <c r="F133" i="2"/>
  <c r="F101" i="2"/>
  <c r="AV101" i="2"/>
  <c r="O76" i="2" l="1"/>
  <c r="R76" i="2"/>
  <c r="R45" i="2"/>
  <c r="O45" i="2"/>
  <c r="C12" i="2"/>
  <c r="BB39" i="2" l="1"/>
  <c r="BB11" i="2" s="1"/>
  <c r="G39" i="2"/>
  <c r="P39" i="2" s="1"/>
  <c r="AE128" i="2"/>
  <c r="G128" i="2" s="1"/>
  <c r="L44" i="2"/>
  <c r="J44" i="2"/>
  <c r="I44" i="2"/>
  <c r="O44" i="2" s="1"/>
  <c r="H44" i="2"/>
  <c r="Q44" i="2" s="1"/>
  <c r="G44" i="2"/>
  <c r="P44" i="2" s="1"/>
  <c r="M44" i="2" l="1"/>
  <c r="R44" i="2"/>
  <c r="N44" i="2"/>
  <c r="C28" i="2" l="1"/>
  <c r="C127" i="2" l="1"/>
  <c r="C90" i="2"/>
  <c r="C71" i="2"/>
  <c r="C54" i="2"/>
  <c r="C52" i="2"/>
  <c r="C25" i="2"/>
  <c r="C21" i="2"/>
  <c r="C19" i="2"/>
  <c r="C18" i="2"/>
  <c r="C16" i="2"/>
  <c r="C15" i="2"/>
  <c r="C14" i="2"/>
  <c r="C5" i="2"/>
  <c r="C81" i="2" l="1"/>
  <c r="L43" i="2" l="1"/>
  <c r="K43" i="2"/>
  <c r="J43" i="2"/>
  <c r="I43" i="2"/>
  <c r="H43" i="2"/>
  <c r="Q43" i="2" s="1"/>
  <c r="G43" i="2"/>
  <c r="F42" i="2"/>
  <c r="L40" i="2"/>
  <c r="L41" i="2"/>
  <c r="L42" i="2"/>
  <c r="K38" i="2"/>
  <c r="K40" i="2"/>
  <c r="J39" i="2"/>
  <c r="J40" i="2"/>
  <c r="J42" i="2"/>
  <c r="I40" i="2"/>
  <c r="I41" i="2"/>
  <c r="I42" i="2"/>
  <c r="H40" i="2"/>
  <c r="Q40" i="2" s="1"/>
  <c r="H42" i="2"/>
  <c r="G40" i="2"/>
  <c r="G41" i="2"/>
  <c r="G42" i="2"/>
  <c r="L38" i="2"/>
  <c r="J38" i="2"/>
  <c r="I38" i="2"/>
  <c r="H38" i="2"/>
  <c r="G38" i="2"/>
  <c r="C128" i="2"/>
  <c r="C126" i="2" s="1"/>
  <c r="C30" i="2"/>
  <c r="N38" i="2" l="1"/>
  <c r="Q38" i="2"/>
  <c r="M38" i="2"/>
  <c r="P38" i="2"/>
  <c r="N42" i="2"/>
  <c r="Q42" i="2"/>
  <c r="O40" i="2"/>
  <c r="R40" i="2"/>
  <c r="M43" i="2"/>
  <c r="P43" i="2"/>
  <c r="M42" i="2"/>
  <c r="P42" i="2"/>
  <c r="O42" i="2"/>
  <c r="R42" i="2"/>
  <c r="N40" i="2"/>
  <c r="O43" i="2"/>
  <c r="R43" i="2"/>
  <c r="N43" i="2"/>
  <c r="O38" i="2"/>
  <c r="R38" i="2"/>
  <c r="M40" i="2"/>
  <c r="P40" i="2"/>
  <c r="C6" i="2" l="1"/>
  <c r="C4" i="2" l="1"/>
  <c r="AW71" i="2"/>
  <c r="AW54" i="2"/>
  <c r="AW52" i="2"/>
  <c r="AX41" i="2"/>
  <c r="AW18" i="2"/>
  <c r="AW61" i="2"/>
  <c r="AX61" i="2"/>
  <c r="AW51" i="2" l="1"/>
  <c r="C113" i="2"/>
  <c r="C35" i="2"/>
  <c r="L115" i="2" l="1"/>
  <c r="K115" i="2"/>
  <c r="J115" i="2"/>
  <c r="I115" i="2"/>
  <c r="R115" i="2" s="1"/>
  <c r="H115" i="2"/>
  <c r="N115" i="2" s="1"/>
  <c r="G115" i="2"/>
  <c r="P115" i="2" s="1"/>
  <c r="L87" i="2"/>
  <c r="K87" i="2"/>
  <c r="J87" i="2"/>
  <c r="I87" i="2"/>
  <c r="O87" i="2" s="1"/>
  <c r="H87" i="2"/>
  <c r="N87" i="2" s="1"/>
  <c r="G87" i="2"/>
  <c r="P87" i="2" s="1"/>
  <c r="H54" i="2"/>
  <c r="N54" i="2" s="1"/>
  <c r="M87" i="2" l="1"/>
  <c r="Q87" i="2"/>
  <c r="M115" i="2"/>
  <c r="Q115" i="2"/>
  <c r="O115" i="2"/>
  <c r="C41" i="2"/>
  <c r="M41" i="2" s="1"/>
  <c r="P41" i="2" l="1"/>
  <c r="M39" i="2"/>
  <c r="F108" i="2" l="1"/>
  <c r="O41" i="2" l="1"/>
  <c r="R41" i="2"/>
  <c r="F39" i="2"/>
  <c r="F11" i="2" s="1"/>
  <c r="AU51" i="2" l="1"/>
  <c r="AT36" i="2" l="1"/>
  <c r="AV133" i="2"/>
  <c r="AV39" i="2"/>
  <c r="L39" i="2" s="1"/>
  <c r="AR51" i="2" l="1"/>
  <c r="AQ71" i="2"/>
  <c r="AR41" i="2"/>
  <c r="AR11" i="2" s="1"/>
  <c r="AR97" i="2"/>
  <c r="AQ48" i="2"/>
  <c r="AQ11" i="2" s="1"/>
  <c r="C70" i="2" l="1"/>
  <c r="C68" i="2" s="1"/>
  <c r="C26" i="2"/>
  <c r="C34" i="2"/>
  <c r="C17" i="2"/>
  <c r="C31" i="2"/>
  <c r="C48" i="2"/>
  <c r="AN36" i="2" l="1"/>
  <c r="AN11" i="2" s="1"/>
  <c r="AN54" i="2"/>
  <c r="AN51" i="2" s="1"/>
  <c r="AO41" i="2"/>
  <c r="AO56" i="2"/>
  <c r="AO51" i="2" s="1"/>
  <c r="AL52" i="2" l="1"/>
  <c r="AL51" i="2" s="1"/>
  <c r="AL11" i="2"/>
  <c r="AK36" i="2"/>
  <c r="AK11" i="2" s="1"/>
  <c r="AL114" i="2" l="1"/>
  <c r="AH5" i="2" l="1"/>
  <c r="Y11" i="2"/>
  <c r="AH129" i="2"/>
  <c r="U11" i="2"/>
  <c r="AH12" i="2"/>
  <c r="AH48" i="2"/>
  <c r="C53" i="2"/>
  <c r="C51" i="2" s="1"/>
  <c r="F103" i="2" l="1"/>
  <c r="AH52" i="2"/>
  <c r="AH51" i="2" s="1"/>
  <c r="AH31" i="2"/>
  <c r="AH15" i="2"/>
  <c r="AH36" i="2"/>
  <c r="AH14" i="2"/>
  <c r="AI13" i="2"/>
  <c r="AI11" i="2" s="1"/>
  <c r="AH71" i="2"/>
  <c r="AI71" i="2"/>
  <c r="AH11" i="2" l="1"/>
  <c r="C33" i="2" l="1"/>
  <c r="AE30" i="2" l="1"/>
  <c r="C11" i="2" l="1"/>
  <c r="G7" i="2"/>
  <c r="P7" i="2" s="1"/>
  <c r="G8" i="2"/>
  <c r="P8" i="2" s="1"/>
  <c r="G9" i="2"/>
  <c r="P9" i="2" s="1"/>
  <c r="G10" i="2"/>
  <c r="P10" i="2" s="1"/>
  <c r="H7" i="2"/>
  <c r="H8" i="2"/>
  <c r="Q8" i="2" s="1"/>
  <c r="H9" i="2"/>
  <c r="H10" i="2"/>
  <c r="Q10" i="2" s="1"/>
  <c r="L7" i="2"/>
  <c r="L8" i="2"/>
  <c r="L9" i="2"/>
  <c r="L10" i="2"/>
  <c r="D13" i="2"/>
  <c r="Q7" i="2" l="1"/>
  <c r="Q9" i="2"/>
  <c r="N9" i="2"/>
  <c r="M8" i="2"/>
  <c r="N10" i="2"/>
  <c r="M9" i="2"/>
  <c r="M7" i="2"/>
  <c r="N8" i="2"/>
  <c r="M10" i="2"/>
  <c r="N7" i="2"/>
  <c r="H72" i="2"/>
  <c r="N72" i="2" s="1"/>
  <c r="G72" i="2"/>
  <c r="J72" i="2"/>
  <c r="K72" i="2"/>
  <c r="K7" i="2"/>
  <c r="K8" i="2"/>
  <c r="K9" i="2"/>
  <c r="K10" i="2"/>
  <c r="J7" i="2"/>
  <c r="J8" i="2"/>
  <c r="J9" i="2"/>
  <c r="J10" i="2"/>
  <c r="I7" i="2"/>
  <c r="I8" i="2"/>
  <c r="I9" i="2"/>
  <c r="I10" i="2"/>
  <c r="E123" i="2"/>
  <c r="E120" i="2" s="1"/>
  <c r="E126" i="2"/>
  <c r="E125" i="2" s="1"/>
  <c r="E81" i="2"/>
  <c r="E80" i="2" s="1"/>
  <c r="E50" i="2"/>
  <c r="E11" i="2"/>
  <c r="J55" i="2"/>
  <c r="J56" i="2"/>
  <c r="M72" i="2" l="1"/>
  <c r="R10" i="2"/>
  <c r="O10" i="2"/>
  <c r="R7" i="2"/>
  <c r="O7" i="2"/>
  <c r="R9" i="2"/>
  <c r="O9" i="2"/>
  <c r="O8" i="2"/>
  <c r="R8" i="2"/>
  <c r="E119" i="2"/>
  <c r="E3" i="2" s="1"/>
  <c r="I128" i="2" l="1"/>
  <c r="I129" i="2"/>
  <c r="I130" i="2"/>
  <c r="H128" i="2"/>
  <c r="H129" i="2"/>
  <c r="H130" i="2"/>
  <c r="G129" i="2"/>
  <c r="G130" i="2"/>
  <c r="K31" i="2"/>
  <c r="H31" i="2"/>
  <c r="V31" i="2" l="1"/>
  <c r="L72" i="2"/>
  <c r="S48" i="2"/>
  <c r="S11" i="2" s="1"/>
  <c r="L54" i="2"/>
  <c r="L55" i="2"/>
  <c r="L56" i="2"/>
  <c r="K54" i="2"/>
  <c r="K55" i="2"/>
  <c r="J47" i="2"/>
  <c r="J49" i="2"/>
  <c r="K47" i="2"/>
  <c r="K48" i="2"/>
  <c r="K49" i="2"/>
  <c r="L47" i="2"/>
  <c r="L48" i="2"/>
  <c r="L49" i="2"/>
  <c r="H37" i="2"/>
  <c r="K37" i="2"/>
  <c r="W13" i="2"/>
  <c r="W71" i="2"/>
  <c r="D71" i="2"/>
  <c r="L96" i="2"/>
  <c r="K96" i="2"/>
  <c r="J96" i="2"/>
  <c r="I96" i="2"/>
  <c r="O96" i="2" s="1"/>
  <c r="H96" i="2"/>
  <c r="G96" i="2"/>
  <c r="D96" i="2"/>
  <c r="H16" i="2"/>
  <c r="N16" i="2" s="1"/>
  <c r="H19" i="2"/>
  <c r="J31" i="2" l="1"/>
  <c r="G31" i="2"/>
  <c r="N96" i="2"/>
  <c r="P96" i="2"/>
  <c r="M96" i="2"/>
  <c r="Q96" i="2"/>
  <c r="R96" i="2"/>
  <c r="Z13" i="2"/>
  <c r="Z71" i="2"/>
  <c r="AB48" i="2"/>
  <c r="J48" i="2" s="1"/>
  <c r="AB12" i="2"/>
  <c r="AB11" i="2" l="1"/>
  <c r="AC39" i="2"/>
  <c r="AF97" i="2" l="1"/>
  <c r="AE14" i="2"/>
  <c r="AE16" i="2"/>
  <c r="AE15" i="2"/>
  <c r="AE18" i="2"/>
  <c r="G18" i="2" s="1"/>
  <c r="AE54" i="2"/>
  <c r="AE53" i="2"/>
  <c r="AF39" i="2"/>
  <c r="AF11" i="2" s="1"/>
  <c r="AF114" i="2"/>
  <c r="AC71" i="2"/>
  <c r="AC41" i="2"/>
  <c r="AC11" i="2" s="1"/>
  <c r="AE51" i="2" l="1"/>
  <c r="H39" i="2"/>
  <c r="AE11" i="2"/>
  <c r="G15" i="2"/>
  <c r="J15" i="2"/>
  <c r="N39" i="2" l="1"/>
  <c r="Q39" i="2"/>
  <c r="G13" i="2"/>
  <c r="G14" i="2"/>
  <c r="G16" i="2"/>
  <c r="G17" i="2"/>
  <c r="G19" i="2"/>
  <c r="G20" i="2"/>
  <c r="G21" i="2"/>
  <c r="G22" i="2"/>
  <c r="G23" i="2"/>
  <c r="G24" i="2"/>
  <c r="G25" i="2"/>
  <c r="M25" i="2" s="1"/>
  <c r="T18" i="2"/>
  <c r="H18" i="2" s="1"/>
  <c r="Z126" i="2"/>
  <c r="J16" i="2"/>
  <c r="J17" i="2"/>
  <c r="J18" i="2"/>
  <c r="J19" i="2"/>
  <c r="R128" i="2" l="1"/>
  <c r="R129" i="2"/>
  <c r="R130" i="2"/>
  <c r="Q128" i="2"/>
  <c r="Q129" i="2"/>
  <c r="P128" i="2"/>
  <c r="P129" i="2"/>
  <c r="P130" i="2"/>
  <c r="O128" i="2"/>
  <c r="O129" i="2"/>
  <c r="O130" i="2"/>
  <c r="N128" i="2"/>
  <c r="N129" i="2"/>
  <c r="M128" i="2"/>
  <c r="M129" i="2"/>
  <c r="M130" i="2"/>
  <c r="L128" i="2"/>
  <c r="L129" i="2"/>
  <c r="L130" i="2"/>
  <c r="K128" i="2"/>
  <c r="K129" i="2"/>
  <c r="K130" i="2"/>
  <c r="J128" i="2"/>
  <c r="J129" i="2"/>
  <c r="J130" i="2"/>
  <c r="L98" i="2"/>
  <c r="K98" i="2"/>
  <c r="J98" i="2"/>
  <c r="I98" i="2"/>
  <c r="O98" i="2" s="1"/>
  <c r="H98" i="2"/>
  <c r="N98" i="2" s="1"/>
  <c r="G98" i="2"/>
  <c r="L88" i="2"/>
  <c r="L89" i="2"/>
  <c r="K88" i="2"/>
  <c r="K89" i="2"/>
  <c r="J88" i="2"/>
  <c r="J89" i="2"/>
  <c r="I88" i="2"/>
  <c r="R88" i="2" s="1"/>
  <c r="I89" i="2"/>
  <c r="R89" i="2" s="1"/>
  <c r="H88" i="2"/>
  <c r="H89" i="2"/>
  <c r="Q89" i="2" s="1"/>
  <c r="G88" i="2"/>
  <c r="G89" i="2"/>
  <c r="M89" i="2" s="1"/>
  <c r="I72" i="2"/>
  <c r="I54" i="2"/>
  <c r="I55" i="2"/>
  <c r="I56" i="2"/>
  <c r="H55" i="2"/>
  <c r="H57" i="2"/>
  <c r="N57" i="2" s="1"/>
  <c r="G55" i="2"/>
  <c r="G56" i="2"/>
  <c r="G57" i="2"/>
  <c r="I46" i="2"/>
  <c r="I47" i="2"/>
  <c r="I48" i="2"/>
  <c r="I49" i="2"/>
  <c r="H46" i="2"/>
  <c r="H47" i="2"/>
  <c r="H48" i="2"/>
  <c r="H49" i="2"/>
  <c r="G46" i="2"/>
  <c r="G47" i="2"/>
  <c r="G48" i="2"/>
  <c r="G49" i="2"/>
  <c r="Z41" i="2"/>
  <c r="Z34" i="2"/>
  <c r="Z97" i="2"/>
  <c r="Z95" i="2" s="1"/>
  <c r="Y54" i="2"/>
  <c r="Y53" i="2"/>
  <c r="Z118" i="2"/>
  <c r="Z75" i="2"/>
  <c r="Z56" i="2"/>
  <c r="Z51" i="2" s="1"/>
  <c r="Z114" i="2"/>
  <c r="Y51" i="2" l="1"/>
  <c r="H41" i="2"/>
  <c r="K41" i="2"/>
  <c r="J54" i="2"/>
  <c r="G54" i="2"/>
  <c r="P54" i="2" s="1"/>
  <c r="H56" i="2"/>
  <c r="N56" i="2" s="1"/>
  <c r="K56" i="2"/>
  <c r="R48" i="2"/>
  <c r="O48" i="2"/>
  <c r="M55" i="2"/>
  <c r="P55" i="2"/>
  <c r="Q54" i="2"/>
  <c r="R54" i="2"/>
  <c r="O54" i="2"/>
  <c r="O47" i="2"/>
  <c r="R47" i="2"/>
  <c r="R56" i="2"/>
  <c r="O56" i="2"/>
  <c r="O72" i="2"/>
  <c r="R72" i="2"/>
  <c r="Q88" i="2"/>
  <c r="N88" i="2"/>
  <c r="P56" i="2"/>
  <c r="M56" i="2"/>
  <c r="P47" i="2"/>
  <c r="M47" i="2"/>
  <c r="R49" i="2"/>
  <c r="O49" i="2"/>
  <c r="Q55" i="2"/>
  <c r="N55" i="2"/>
  <c r="R55" i="2"/>
  <c r="O55" i="2"/>
  <c r="M98" i="2"/>
  <c r="Q47" i="2"/>
  <c r="N47" i="2"/>
  <c r="N46" i="2"/>
  <c r="Q46" i="2"/>
  <c r="M48" i="2"/>
  <c r="P48" i="2"/>
  <c r="N48" i="2"/>
  <c r="Q48" i="2"/>
  <c r="N49" i="2"/>
  <c r="Q49" i="2"/>
  <c r="M49" i="2"/>
  <c r="P49" i="2"/>
  <c r="P89" i="2"/>
  <c r="Q98" i="2"/>
  <c r="Z11" i="2"/>
  <c r="M88" i="2"/>
  <c r="P88" i="2"/>
  <c r="N89" i="2"/>
  <c r="O88" i="2"/>
  <c r="P98" i="2"/>
  <c r="O89" i="2"/>
  <c r="R98" i="2"/>
  <c r="W135" i="2"/>
  <c r="W97" i="2"/>
  <c r="W34" i="2"/>
  <c r="W114" i="2"/>
  <c r="N41" i="2" l="1"/>
  <c r="Q41" i="2"/>
  <c r="Q56" i="2"/>
  <c r="M54" i="2"/>
  <c r="D135" i="2"/>
  <c r="W28" i="2"/>
  <c r="W14" i="2"/>
  <c r="V12" i="2"/>
  <c r="V11" i="2" s="1"/>
  <c r="T81" i="2"/>
  <c r="D130" i="2"/>
  <c r="N130" i="2" s="1"/>
  <c r="D118" i="2"/>
  <c r="D97" i="2"/>
  <c r="D75" i="2"/>
  <c r="D73" i="2" s="1"/>
  <c r="D34" i="2"/>
  <c r="D29" i="2"/>
  <c r="D28" i="2"/>
  <c r="W11" i="2" l="1"/>
  <c r="D126" i="2"/>
  <c r="Q130" i="2"/>
  <c r="T34" i="2" l="1"/>
  <c r="T15" i="2" l="1"/>
  <c r="T11" i="2"/>
  <c r="I15" i="2"/>
  <c r="K15" i="2" l="1"/>
  <c r="H15" i="2"/>
  <c r="D31" i="2"/>
  <c r="D11" i="2" s="1"/>
  <c r="D52" i="2"/>
  <c r="D51" i="2" s="1"/>
  <c r="M31" i="2" l="1"/>
  <c r="P31" i="2"/>
  <c r="P72" i="2"/>
  <c r="N31" i="2"/>
  <c r="Q31" i="2"/>
  <c r="Q72" i="2"/>
  <c r="D68" i="2"/>
  <c r="L135" i="2" l="1"/>
  <c r="K135" i="2"/>
  <c r="J135" i="2"/>
  <c r="I135" i="2"/>
  <c r="R135" i="2" s="1"/>
  <c r="H135" i="2"/>
  <c r="Q135" i="2" s="1"/>
  <c r="G135" i="2"/>
  <c r="M135" i="2" s="1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F134" i="2"/>
  <c r="D134" i="2"/>
  <c r="C134" i="2"/>
  <c r="L133" i="2"/>
  <c r="K133" i="2"/>
  <c r="J133" i="2"/>
  <c r="I133" i="2"/>
  <c r="R133" i="2" s="1"/>
  <c r="H133" i="2"/>
  <c r="Q133" i="2" s="1"/>
  <c r="G133" i="2"/>
  <c r="L132" i="2"/>
  <c r="K132" i="2"/>
  <c r="J132" i="2"/>
  <c r="I132" i="2"/>
  <c r="O132" i="2" s="1"/>
  <c r="H132" i="2"/>
  <c r="Q132" i="2" s="1"/>
  <c r="G132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Z125" i="2" s="1"/>
  <c r="Y131" i="2"/>
  <c r="X131" i="2"/>
  <c r="W131" i="2"/>
  <c r="V131" i="2"/>
  <c r="U131" i="2"/>
  <c r="T131" i="2"/>
  <c r="S131" i="2"/>
  <c r="F131" i="2"/>
  <c r="D131" i="2"/>
  <c r="C131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Y126" i="2"/>
  <c r="X126" i="2"/>
  <c r="W126" i="2"/>
  <c r="V126" i="2"/>
  <c r="U126" i="2"/>
  <c r="T126" i="2"/>
  <c r="S126" i="2"/>
  <c r="F126" i="2"/>
  <c r="L124" i="2"/>
  <c r="K124" i="2"/>
  <c r="J124" i="2"/>
  <c r="I124" i="2"/>
  <c r="I123" i="2" s="1"/>
  <c r="H124" i="2"/>
  <c r="Q124" i="2" s="1"/>
  <c r="G124" i="2"/>
  <c r="P124" i="2" s="1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F123" i="2"/>
  <c r="D123" i="2"/>
  <c r="C123" i="2"/>
  <c r="L122" i="2"/>
  <c r="K122" i="2"/>
  <c r="J122" i="2"/>
  <c r="I122" i="2"/>
  <c r="O122" i="2" s="1"/>
  <c r="H122" i="2"/>
  <c r="G122" i="2"/>
  <c r="M122" i="2" s="1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F121" i="2"/>
  <c r="D121" i="2"/>
  <c r="C121" i="2"/>
  <c r="L118" i="2"/>
  <c r="K118" i="2"/>
  <c r="J118" i="2"/>
  <c r="I118" i="2"/>
  <c r="R118" i="2" s="1"/>
  <c r="H118" i="2"/>
  <c r="Q118" i="2" s="1"/>
  <c r="G118" i="2"/>
  <c r="P118" i="2" s="1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F117" i="2"/>
  <c r="D117" i="2"/>
  <c r="C117" i="2"/>
  <c r="L116" i="2"/>
  <c r="K116" i="2"/>
  <c r="J116" i="2"/>
  <c r="I116" i="2"/>
  <c r="H116" i="2"/>
  <c r="N116" i="2" s="1"/>
  <c r="G116" i="2"/>
  <c r="P116" i="2" s="1"/>
  <c r="L114" i="2"/>
  <c r="K114" i="2"/>
  <c r="J114" i="2"/>
  <c r="I114" i="2"/>
  <c r="O114" i="2" s="1"/>
  <c r="H114" i="2"/>
  <c r="G114" i="2"/>
  <c r="M114" i="2" s="1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F113" i="2"/>
  <c r="D113" i="2"/>
  <c r="L112" i="2"/>
  <c r="K112" i="2"/>
  <c r="J112" i="2"/>
  <c r="I112" i="2"/>
  <c r="O112" i="2" s="1"/>
  <c r="H112" i="2"/>
  <c r="Q112" i="2" s="1"/>
  <c r="G112" i="2"/>
  <c r="M112" i="2" s="1"/>
  <c r="L111" i="2"/>
  <c r="K111" i="2"/>
  <c r="J111" i="2"/>
  <c r="I111" i="2"/>
  <c r="O111" i="2" s="1"/>
  <c r="H111" i="2"/>
  <c r="N111" i="2" s="1"/>
  <c r="G111" i="2"/>
  <c r="M111" i="2" s="1"/>
  <c r="L110" i="2"/>
  <c r="K110" i="2"/>
  <c r="J110" i="2"/>
  <c r="I110" i="2"/>
  <c r="R110" i="2" s="1"/>
  <c r="H110" i="2"/>
  <c r="G110" i="2"/>
  <c r="M110" i="2" s="1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F109" i="2"/>
  <c r="D109" i="2"/>
  <c r="C109" i="2"/>
  <c r="L108" i="2"/>
  <c r="K108" i="2"/>
  <c r="J108" i="2"/>
  <c r="I108" i="2"/>
  <c r="O108" i="2" s="1"/>
  <c r="H108" i="2"/>
  <c r="G108" i="2"/>
  <c r="P108" i="2" s="1"/>
  <c r="L107" i="2"/>
  <c r="K107" i="2"/>
  <c r="J107" i="2"/>
  <c r="I107" i="2"/>
  <c r="H107" i="2"/>
  <c r="N107" i="2" s="1"/>
  <c r="G107" i="2"/>
  <c r="M107" i="2" s="1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F106" i="2"/>
  <c r="D106" i="2"/>
  <c r="C106" i="2"/>
  <c r="L105" i="2"/>
  <c r="K105" i="2"/>
  <c r="J105" i="2"/>
  <c r="I105" i="2"/>
  <c r="O105" i="2" s="1"/>
  <c r="H105" i="2"/>
  <c r="G105" i="2"/>
  <c r="M105" i="2" s="1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F104" i="2"/>
  <c r="D104" i="2"/>
  <c r="C104" i="2"/>
  <c r="L103" i="2"/>
  <c r="K103" i="2"/>
  <c r="J103" i="2"/>
  <c r="I103" i="2"/>
  <c r="O103" i="2" s="1"/>
  <c r="H103" i="2"/>
  <c r="N103" i="2" s="1"/>
  <c r="G103" i="2"/>
  <c r="P103" i="2" s="1"/>
  <c r="P102" i="2" s="1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K42" i="2" s="1"/>
  <c r="S102" i="2"/>
  <c r="F102" i="2"/>
  <c r="D102" i="2"/>
  <c r="C102" i="2"/>
  <c r="L101" i="2"/>
  <c r="K101" i="2"/>
  <c r="J101" i="2"/>
  <c r="I101" i="2"/>
  <c r="R101" i="2" s="1"/>
  <c r="H101" i="2"/>
  <c r="Q101" i="2" s="1"/>
  <c r="G101" i="2"/>
  <c r="M101" i="2" s="1"/>
  <c r="L97" i="2"/>
  <c r="K97" i="2"/>
  <c r="J97" i="2"/>
  <c r="I97" i="2"/>
  <c r="O97" i="2" s="1"/>
  <c r="H97" i="2"/>
  <c r="N97" i="2" s="1"/>
  <c r="G97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Y95" i="2"/>
  <c r="X95" i="2"/>
  <c r="W95" i="2"/>
  <c r="V95" i="2"/>
  <c r="U95" i="2"/>
  <c r="T95" i="2"/>
  <c r="S95" i="2"/>
  <c r="F95" i="2"/>
  <c r="D95" i="2"/>
  <c r="C95" i="2"/>
  <c r="L93" i="2"/>
  <c r="K93" i="2"/>
  <c r="J93" i="2"/>
  <c r="I93" i="2"/>
  <c r="R93" i="2" s="1"/>
  <c r="H93" i="2"/>
  <c r="Q93" i="2" s="1"/>
  <c r="G93" i="2"/>
  <c r="M93" i="2" s="1"/>
  <c r="L92" i="2"/>
  <c r="K92" i="2"/>
  <c r="J92" i="2"/>
  <c r="I92" i="2"/>
  <c r="R92" i="2" s="1"/>
  <c r="H92" i="2"/>
  <c r="Q92" i="2" s="1"/>
  <c r="G92" i="2"/>
  <c r="M92" i="2" s="1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F91" i="2"/>
  <c r="D91" i="2"/>
  <c r="L90" i="2"/>
  <c r="K90" i="2"/>
  <c r="J90" i="2"/>
  <c r="I90" i="2"/>
  <c r="O90" i="2" s="1"/>
  <c r="H90" i="2"/>
  <c r="N90" i="2" s="1"/>
  <c r="G90" i="2"/>
  <c r="P90" i="2" s="1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S81" i="2"/>
  <c r="F81" i="2"/>
  <c r="D81" i="2"/>
  <c r="L75" i="2"/>
  <c r="K75" i="2"/>
  <c r="J75" i="2"/>
  <c r="I75" i="2"/>
  <c r="O75" i="2" s="1"/>
  <c r="H75" i="2"/>
  <c r="N75" i="2" s="1"/>
  <c r="G75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F73" i="2"/>
  <c r="C73" i="2"/>
  <c r="L71" i="2"/>
  <c r="K71" i="2"/>
  <c r="J71" i="2"/>
  <c r="I71" i="2"/>
  <c r="O71" i="2" s="1"/>
  <c r="H71" i="2"/>
  <c r="N71" i="2" s="1"/>
  <c r="G71" i="2"/>
  <c r="P71" i="2" s="1"/>
  <c r="L70" i="2"/>
  <c r="K70" i="2"/>
  <c r="J70" i="2"/>
  <c r="I70" i="2"/>
  <c r="H70" i="2"/>
  <c r="Q70" i="2" s="1"/>
  <c r="G70" i="2"/>
  <c r="M70" i="2" s="1"/>
  <c r="L69" i="2"/>
  <c r="K69" i="2"/>
  <c r="J69" i="2"/>
  <c r="I69" i="2"/>
  <c r="O69" i="2" s="1"/>
  <c r="H69" i="2"/>
  <c r="Q69" i="2" s="1"/>
  <c r="G69" i="2"/>
  <c r="P69" i="2" s="1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F68" i="2"/>
  <c r="L67" i="2"/>
  <c r="K67" i="2"/>
  <c r="J67" i="2"/>
  <c r="I67" i="2"/>
  <c r="O67" i="2" s="1"/>
  <c r="H67" i="2"/>
  <c r="Q67" i="2" s="1"/>
  <c r="G67" i="2"/>
  <c r="P67" i="2" s="1"/>
  <c r="L66" i="2"/>
  <c r="K66" i="2"/>
  <c r="J66" i="2"/>
  <c r="I66" i="2"/>
  <c r="R66" i="2" s="1"/>
  <c r="H66" i="2"/>
  <c r="Q66" i="2" s="1"/>
  <c r="G66" i="2"/>
  <c r="M66" i="2" s="1"/>
  <c r="L65" i="2"/>
  <c r="K65" i="2"/>
  <c r="J65" i="2"/>
  <c r="I65" i="2"/>
  <c r="O65" i="2" s="1"/>
  <c r="H65" i="2"/>
  <c r="Q65" i="2" s="1"/>
  <c r="G65" i="2"/>
  <c r="BE64" i="2"/>
  <c r="BD64" i="2"/>
  <c r="BC64" i="2"/>
  <c r="BB64" i="2"/>
  <c r="BA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F64" i="2"/>
  <c r="D64" i="2"/>
  <c r="L63" i="2"/>
  <c r="K63" i="2"/>
  <c r="J63" i="2"/>
  <c r="I63" i="2"/>
  <c r="O63" i="2" s="1"/>
  <c r="H63" i="2"/>
  <c r="N63" i="2" s="1"/>
  <c r="G63" i="2"/>
  <c r="P63" i="2" s="1"/>
  <c r="L62" i="2"/>
  <c r="K62" i="2"/>
  <c r="J62" i="2"/>
  <c r="I62" i="2"/>
  <c r="R62" i="2" s="1"/>
  <c r="H62" i="2"/>
  <c r="Q62" i="2" s="1"/>
  <c r="G62" i="2"/>
  <c r="M62" i="2" s="1"/>
  <c r="BE61" i="2"/>
  <c r="BD61" i="2"/>
  <c r="BC61" i="2"/>
  <c r="BB61" i="2"/>
  <c r="BA61" i="2"/>
  <c r="AZ61" i="2"/>
  <c r="AY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F61" i="2"/>
  <c r="D61" i="2"/>
  <c r="C61" i="2"/>
  <c r="C50" i="2" s="1"/>
  <c r="L58" i="2"/>
  <c r="K58" i="2"/>
  <c r="J58" i="2"/>
  <c r="I58" i="2"/>
  <c r="R58" i="2" s="1"/>
  <c r="H58" i="2"/>
  <c r="Q58" i="2" s="1"/>
  <c r="G58" i="2"/>
  <c r="L57" i="2"/>
  <c r="K57" i="2"/>
  <c r="J57" i="2"/>
  <c r="I57" i="2"/>
  <c r="P57" i="2"/>
  <c r="L53" i="2"/>
  <c r="K53" i="2"/>
  <c r="J53" i="2"/>
  <c r="I53" i="2"/>
  <c r="R53" i="2" s="1"/>
  <c r="H53" i="2"/>
  <c r="Q53" i="2" s="1"/>
  <c r="G53" i="2"/>
  <c r="L52" i="2"/>
  <c r="K52" i="2"/>
  <c r="J52" i="2"/>
  <c r="I52" i="2"/>
  <c r="H52" i="2"/>
  <c r="G52" i="2"/>
  <c r="BE51" i="2"/>
  <c r="BD51" i="2"/>
  <c r="BC51" i="2"/>
  <c r="BB51" i="2"/>
  <c r="AY51" i="2"/>
  <c r="AV51" i="2"/>
  <c r="AT51" i="2"/>
  <c r="AS51" i="2"/>
  <c r="AP51" i="2"/>
  <c r="AM51" i="2"/>
  <c r="AJ51" i="2"/>
  <c r="AG51" i="2"/>
  <c r="AD51" i="2"/>
  <c r="AA51" i="2"/>
  <c r="X51" i="2"/>
  <c r="V51" i="2"/>
  <c r="U51" i="2"/>
  <c r="S51" i="2"/>
  <c r="F51" i="2"/>
  <c r="L46" i="2"/>
  <c r="K46" i="2"/>
  <c r="J46" i="2"/>
  <c r="R46" i="2"/>
  <c r="I39" i="2"/>
  <c r="L37" i="2"/>
  <c r="J37" i="2"/>
  <c r="I37" i="2"/>
  <c r="N37" i="2"/>
  <c r="G37" i="2"/>
  <c r="L36" i="2"/>
  <c r="K36" i="2"/>
  <c r="J36" i="2"/>
  <c r="I36" i="2"/>
  <c r="H36" i="2"/>
  <c r="N36" i="2" s="1"/>
  <c r="G36" i="2"/>
  <c r="P36" i="2" s="1"/>
  <c r="L35" i="2"/>
  <c r="K35" i="2"/>
  <c r="J35" i="2"/>
  <c r="I35" i="2"/>
  <c r="H35" i="2"/>
  <c r="N35" i="2" s="1"/>
  <c r="G35" i="2"/>
  <c r="L34" i="2"/>
  <c r="K34" i="2"/>
  <c r="J34" i="2"/>
  <c r="I34" i="2"/>
  <c r="H34" i="2"/>
  <c r="N34" i="2" s="1"/>
  <c r="G34" i="2"/>
  <c r="L33" i="2"/>
  <c r="K33" i="2"/>
  <c r="J33" i="2"/>
  <c r="I33" i="2"/>
  <c r="H33" i="2"/>
  <c r="N33" i="2" s="1"/>
  <c r="G33" i="2"/>
  <c r="L32" i="2"/>
  <c r="K32" i="2"/>
  <c r="J32" i="2"/>
  <c r="I32" i="2"/>
  <c r="H32" i="2"/>
  <c r="N32" i="2" s="1"/>
  <c r="G32" i="2"/>
  <c r="L31" i="2"/>
  <c r="I31" i="2"/>
  <c r="L30" i="2"/>
  <c r="K30" i="2"/>
  <c r="J30" i="2"/>
  <c r="I30" i="2"/>
  <c r="H30" i="2"/>
  <c r="N30" i="2" s="1"/>
  <c r="G30" i="2"/>
  <c r="L29" i="2"/>
  <c r="K29" i="2"/>
  <c r="J29" i="2"/>
  <c r="I29" i="2"/>
  <c r="H29" i="2"/>
  <c r="N29" i="2" s="1"/>
  <c r="G29" i="2"/>
  <c r="L28" i="2"/>
  <c r="K28" i="2"/>
  <c r="J28" i="2"/>
  <c r="I28" i="2"/>
  <c r="H28" i="2"/>
  <c r="N28" i="2" s="1"/>
  <c r="G28" i="2"/>
  <c r="L27" i="2"/>
  <c r="K27" i="2"/>
  <c r="J27" i="2"/>
  <c r="I27" i="2"/>
  <c r="H27" i="2"/>
  <c r="N27" i="2" s="1"/>
  <c r="G27" i="2"/>
  <c r="L26" i="2"/>
  <c r="K26" i="2"/>
  <c r="J26" i="2"/>
  <c r="I26" i="2"/>
  <c r="H26" i="2"/>
  <c r="N26" i="2" s="1"/>
  <c r="G26" i="2"/>
  <c r="L25" i="2"/>
  <c r="K25" i="2"/>
  <c r="J25" i="2"/>
  <c r="I25" i="2"/>
  <c r="R25" i="2" s="1"/>
  <c r="H25" i="2"/>
  <c r="N25" i="2" s="1"/>
  <c r="L24" i="2"/>
  <c r="K24" i="2"/>
  <c r="J24" i="2"/>
  <c r="I24" i="2"/>
  <c r="O24" i="2" s="1"/>
  <c r="H24" i="2"/>
  <c r="N24" i="2" s="1"/>
  <c r="P24" i="2"/>
  <c r="L23" i="2"/>
  <c r="K23" i="2"/>
  <c r="J23" i="2"/>
  <c r="I23" i="2"/>
  <c r="R23" i="2" s="1"/>
  <c r="H23" i="2"/>
  <c r="N23" i="2" s="1"/>
  <c r="L22" i="2"/>
  <c r="K22" i="2"/>
  <c r="J22" i="2"/>
  <c r="I22" i="2"/>
  <c r="O22" i="2" s="1"/>
  <c r="H22" i="2"/>
  <c r="N22" i="2" s="1"/>
  <c r="P22" i="2"/>
  <c r="L21" i="2"/>
  <c r="K21" i="2"/>
  <c r="J21" i="2"/>
  <c r="I21" i="2"/>
  <c r="R21" i="2" s="1"/>
  <c r="H21" i="2"/>
  <c r="N21" i="2" s="1"/>
  <c r="L20" i="2"/>
  <c r="K20" i="2"/>
  <c r="J20" i="2"/>
  <c r="I20" i="2"/>
  <c r="O20" i="2" s="1"/>
  <c r="H20" i="2"/>
  <c r="N20" i="2" s="1"/>
  <c r="P20" i="2"/>
  <c r="L19" i="2"/>
  <c r="K19" i="2"/>
  <c r="I19" i="2"/>
  <c r="R19" i="2" s="1"/>
  <c r="N19" i="2"/>
  <c r="L18" i="2"/>
  <c r="K18" i="2"/>
  <c r="I18" i="2"/>
  <c r="O18" i="2" s="1"/>
  <c r="N18" i="2"/>
  <c r="P18" i="2"/>
  <c r="L17" i="2"/>
  <c r="K17" i="2"/>
  <c r="I17" i="2"/>
  <c r="R17" i="2" s="1"/>
  <c r="H17" i="2"/>
  <c r="N17" i="2" s="1"/>
  <c r="L16" i="2"/>
  <c r="K16" i="2"/>
  <c r="I16" i="2"/>
  <c r="O16" i="2" s="1"/>
  <c r="P16" i="2"/>
  <c r="L15" i="2"/>
  <c r="R15" i="2"/>
  <c r="N15" i="2"/>
  <c r="L14" i="2"/>
  <c r="K14" i="2"/>
  <c r="J14" i="2"/>
  <c r="I14" i="2"/>
  <c r="O14" i="2" s="1"/>
  <c r="H14" i="2"/>
  <c r="N14" i="2" s="1"/>
  <c r="P14" i="2"/>
  <c r="L13" i="2"/>
  <c r="K13" i="2"/>
  <c r="J13" i="2"/>
  <c r="I13" i="2"/>
  <c r="R13" i="2" s="1"/>
  <c r="H13" i="2"/>
  <c r="N13" i="2" s="1"/>
  <c r="L12" i="2"/>
  <c r="K12" i="2"/>
  <c r="J12" i="2"/>
  <c r="I12" i="2"/>
  <c r="H12" i="2"/>
  <c r="N12" i="2" s="1"/>
  <c r="G12" i="2"/>
  <c r="BE11" i="2"/>
  <c r="BD11" i="2"/>
  <c r="BC11" i="2"/>
  <c r="AY11" i="2"/>
  <c r="AX11" i="2"/>
  <c r="AW11" i="2"/>
  <c r="AV11" i="2"/>
  <c r="AU11" i="2"/>
  <c r="AT11" i="2"/>
  <c r="AS11" i="2"/>
  <c r="AP11" i="2"/>
  <c r="AO11" i="2"/>
  <c r="AM11" i="2"/>
  <c r="AJ11" i="2"/>
  <c r="AG11" i="2"/>
  <c r="AD11" i="2"/>
  <c r="AA11" i="2"/>
  <c r="X11" i="2"/>
  <c r="L6" i="2"/>
  <c r="K6" i="2"/>
  <c r="J6" i="2"/>
  <c r="I6" i="2"/>
  <c r="O6" i="2" s="1"/>
  <c r="H6" i="2"/>
  <c r="N6" i="2" s="1"/>
  <c r="G6" i="2"/>
  <c r="P6" i="2" s="1"/>
  <c r="L5" i="2"/>
  <c r="K5" i="2"/>
  <c r="J5" i="2"/>
  <c r="I5" i="2"/>
  <c r="R5" i="2" s="1"/>
  <c r="H5" i="2"/>
  <c r="G5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F4" i="2"/>
  <c r="D4" i="2"/>
  <c r="AD94" i="2" l="1"/>
  <c r="AD80" i="2" s="1"/>
  <c r="AH94" i="2"/>
  <c r="AH80" i="2" s="1"/>
  <c r="AL94" i="2"/>
  <c r="AL80" i="2" s="1"/>
  <c r="AP94" i="2"/>
  <c r="AP80" i="2" s="1"/>
  <c r="AT94" i="2"/>
  <c r="AT80" i="2" s="1"/>
  <c r="AX94" i="2"/>
  <c r="AX80" i="2" s="1"/>
  <c r="G51" i="2"/>
  <c r="AZ50" i="2"/>
  <c r="J51" i="2"/>
  <c r="V125" i="2"/>
  <c r="AD125" i="2"/>
  <c r="AH125" i="2"/>
  <c r="AL125" i="2"/>
  <c r="AP125" i="2"/>
  <c r="AT125" i="2"/>
  <c r="AX125" i="2"/>
  <c r="AX50" i="2"/>
  <c r="R107" i="2"/>
  <c r="O107" i="2"/>
  <c r="BB125" i="2"/>
  <c r="BB94" i="2"/>
  <c r="BB80" i="2" s="1"/>
  <c r="F125" i="2"/>
  <c r="O39" i="2"/>
  <c r="R39" i="2"/>
  <c r="AW50" i="2"/>
  <c r="O116" i="2"/>
  <c r="O113" i="2" s="1"/>
  <c r="R116" i="2"/>
  <c r="AE50" i="2"/>
  <c r="S125" i="2"/>
  <c r="W125" i="2"/>
  <c r="AA125" i="2"/>
  <c r="AE125" i="2"/>
  <c r="AI125" i="2"/>
  <c r="AM125" i="2"/>
  <c r="AY125" i="2"/>
  <c r="AU125" i="2"/>
  <c r="D50" i="2"/>
  <c r="D120" i="2"/>
  <c r="U120" i="2"/>
  <c r="Y120" i="2"/>
  <c r="AC120" i="2"/>
  <c r="AG120" i="2"/>
  <c r="AK120" i="2"/>
  <c r="AO120" i="2"/>
  <c r="AS120" i="2"/>
  <c r="AW120" i="2"/>
  <c r="BA120" i="2"/>
  <c r="M134" i="2"/>
  <c r="G11" i="2"/>
  <c r="J11" i="2"/>
  <c r="N52" i="2"/>
  <c r="H51" i="2"/>
  <c r="Q51" i="2" s="1"/>
  <c r="N5" i="2"/>
  <c r="BD50" i="2"/>
  <c r="U125" i="2"/>
  <c r="Y125" i="2"/>
  <c r="AC125" i="2"/>
  <c r="AG125" i="2"/>
  <c r="AK125" i="2"/>
  <c r="AO125" i="2"/>
  <c r="AS125" i="2"/>
  <c r="AW125" i="2"/>
  <c r="BA125" i="2"/>
  <c r="BE125" i="2"/>
  <c r="D94" i="2"/>
  <c r="D80" i="2" s="1"/>
  <c r="U94" i="2"/>
  <c r="U80" i="2" s="1"/>
  <c r="AC50" i="2"/>
  <c r="S120" i="2"/>
  <c r="W120" i="2"/>
  <c r="AA120" i="2"/>
  <c r="AE120" i="2"/>
  <c r="AI120" i="2"/>
  <c r="AM120" i="2"/>
  <c r="AQ120" i="2"/>
  <c r="AU120" i="2"/>
  <c r="AY120" i="2"/>
  <c r="K51" i="2"/>
  <c r="P97" i="2"/>
  <c r="N11" i="2"/>
  <c r="H11" i="2"/>
  <c r="O28" i="2"/>
  <c r="P35" i="2"/>
  <c r="O26" i="2"/>
  <c r="R27" i="2"/>
  <c r="R29" i="2"/>
  <c r="O30" i="2"/>
  <c r="P33" i="2"/>
  <c r="O33" i="2"/>
  <c r="O35" i="2"/>
  <c r="P26" i="2"/>
  <c r="R32" i="2"/>
  <c r="R34" i="2"/>
  <c r="R36" i="2"/>
  <c r="R37" i="2"/>
  <c r="O31" i="2"/>
  <c r="P12" i="2"/>
  <c r="AO50" i="2"/>
  <c r="AL50" i="2"/>
  <c r="AQ125" i="2"/>
  <c r="V50" i="2"/>
  <c r="P65" i="2"/>
  <c r="BC94" i="2"/>
  <c r="BC80" i="2" s="1"/>
  <c r="AR120" i="2"/>
  <c r="I134" i="2"/>
  <c r="R134" i="2" s="1"/>
  <c r="W50" i="2"/>
  <c r="BB50" i="2"/>
  <c r="S50" i="2"/>
  <c r="AM50" i="2"/>
  <c r="AY50" i="2"/>
  <c r="W94" i="2"/>
  <c r="W80" i="2" s="1"/>
  <c r="H126" i="2"/>
  <c r="Q126" i="2" s="1"/>
  <c r="AA50" i="2"/>
  <c r="AI50" i="2"/>
  <c r="AQ50" i="2"/>
  <c r="AU50" i="2"/>
  <c r="BC50" i="2"/>
  <c r="S94" i="2"/>
  <c r="S80" i="2" s="1"/>
  <c r="AB50" i="2"/>
  <c r="AF50" i="2"/>
  <c r="AJ50" i="2"/>
  <c r="AN50" i="2"/>
  <c r="AR50" i="2"/>
  <c r="AV50" i="2"/>
  <c r="AC94" i="2"/>
  <c r="AC80" i="2" s="1"/>
  <c r="AG94" i="2"/>
  <c r="AG80" i="2" s="1"/>
  <c r="AK94" i="2"/>
  <c r="AK80" i="2" s="1"/>
  <c r="AO94" i="2"/>
  <c r="AO80" i="2" s="1"/>
  <c r="AS94" i="2"/>
  <c r="AS80" i="2" s="1"/>
  <c r="AW94" i="2"/>
  <c r="AW80" i="2" s="1"/>
  <c r="BA94" i="2"/>
  <c r="BA80" i="2" s="1"/>
  <c r="BE94" i="2"/>
  <c r="BE80" i="2" s="1"/>
  <c r="Z94" i="2"/>
  <c r="Z80" i="2" s="1"/>
  <c r="C120" i="2"/>
  <c r="T120" i="2"/>
  <c r="X120" i="2"/>
  <c r="AB120" i="2"/>
  <c r="AF120" i="2"/>
  <c r="AJ120" i="2"/>
  <c r="AN120" i="2"/>
  <c r="AV120" i="2"/>
  <c r="AZ120" i="2"/>
  <c r="BD120" i="2"/>
  <c r="F50" i="2"/>
  <c r="X50" i="2"/>
  <c r="F94" i="2"/>
  <c r="F80" i="2" s="1"/>
  <c r="V94" i="2"/>
  <c r="V80" i="2" s="1"/>
  <c r="AA94" i="2"/>
  <c r="AA80" i="2" s="1"/>
  <c r="AE94" i="2"/>
  <c r="AE80" i="2" s="1"/>
  <c r="AI94" i="2"/>
  <c r="AI80" i="2" s="1"/>
  <c r="AM94" i="2"/>
  <c r="AM80" i="2" s="1"/>
  <c r="AQ94" i="2"/>
  <c r="AQ80" i="2" s="1"/>
  <c r="AU94" i="2"/>
  <c r="AU80" i="2" s="1"/>
  <c r="AY94" i="2"/>
  <c r="AY80" i="2" s="1"/>
  <c r="F120" i="2"/>
  <c r="G126" i="2"/>
  <c r="P126" i="2" s="1"/>
  <c r="P28" i="2"/>
  <c r="P30" i="2"/>
  <c r="H109" i="2"/>
  <c r="Q109" i="2" s="1"/>
  <c r="G123" i="2"/>
  <c r="P123" i="2" s="1"/>
  <c r="K134" i="2"/>
  <c r="U50" i="2"/>
  <c r="Y50" i="2"/>
  <c r="AG50" i="2"/>
  <c r="AK50" i="2"/>
  <c r="AS50" i="2"/>
  <c r="BA50" i="2"/>
  <c r="BE50" i="2"/>
  <c r="H61" i="2"/>
  <c r="Q61" i="2" s="1"/>
  <c r="I102" i="2"/>
  <c r="L91" i="2"/>
  <c r="G113" i="2"/>
  <c r="K121" i="2"/>
  <c r="L134" i="2"/>
  <c r="K131" i="2"/>
  <c r="L131" i="2"/>
  <c r="G134" i="2"/>
  <c r="P134" i="2" s="1"/>
  <c r="Z50" i="2"/>
  <c r="AD50" i="2"/>
  <c r="AH50" i="2"/>
  <c r="AP50" i="2"/>
  <c r="AT50" i="2"/>
  <c r="M65" i="2"/>
  <c r="D125" i="2"/>
  <c r="M28" i="2"/>
  <c r="H81" i="2"/>
  <c r="Q81" i="2" s="1"/>
  <c r="P122" i="2"/>
  <c r="T125" i="2"/>
  <c r="X125" i="2"/>
  <c r="AB125" i="2"/>
  <c r="AF125" i="2"/>
  <c r="AJ125" i="2"/>
  <c r="AN125" i="2"/>
  <c r="AR125" i="2"/>
  <c r="AV125" i="2"/>
  <c r="AZ125" i="2"/>
  <c r="BD125" i="2"/>
  <c r="Q75" i="2"/>
  <c r="I109" i="2"/>
  <c r="R109" i="2" s="1"/>
  <c r="H134" i="2"/>
  <c r="Q134" i="2" s="1"/>
  <c r="J64" i="2"/>
  <c r="T94" i="2"/>
  <c r="T80" i="2" s="1"/>
  <c r="X94" i="2"/>
  <c r="X80" i="2" s="1"/>
  <c r="AB94" i="2"/>
  <c r="AB80" i="2" s="1"/>
  <c r="AF94" i="2"/>
  <c r="AF80" i="2" s="1"/>
  <c r="AJ94" i="2"/>
  <c r="AJ80" i="2" s="1"/>
  <c r="AN94" i="2"/>
  <c r="AN80" i="2" s="1"/>
  <c r="AR94" i="2"/>
  <c r="AR80" i="2" s="1"/>
  <c r="AV94" i="2"/>
  <c r="AV80" i="2" s="1"/>
  <c r="AZ94" i="2"/>
  <c r="AZ80" i="2" s="1"/>
  <c r="V120" i="2"/>
  <c r="Z120" i="2"/>
  <c r="Z119" i="2" s="1"/>
  <c r="AD120" i="2"/>
  <c r="AH120" i="2"/>
  <c r="AL120" i="2"/>
  <c r="AP120" i="2"/>
  <c r="AT120" i="2"/>
  <c r="AX120" i="2"/>
  <c r="BB120" i="2"/>
  <c r="H131" i="2"/>
  <c r="Q131" i="2" s="1"/>
  <c r="T50" i="2"/>
  <c r="Q14" i="2"/>
  <c r="M14" i="2"/>
  <c r="Q23" i="2"/>
  <c r="M24" i="2"/>
  <c r="M57" i="2"/>
  <c r="K64" i="2"/>
  <c r="N65" i="2"/>
  <c r="Q71" i="2"/>
  <c r="L61" i="2"/>
  <c r="L102" i="2"/>
  <c r="I113" i="2"/>
  <c r="R113" i="2" s="1"/>
  <c r="M121" i="2"/>
  <c r="Q16" i="2"/>
  <c r="Q27" i="2"/>
  <c r="Q35" i="2"/>
  <c r="I95" i="2"/>
  <c r="R95" i="2" s="1"/>
  <c r="Q97" i="2"/>
  <c r="I104" i="2"/>
  <c r="G109" i="2"/>
  <c r="P111" i="2"/>
  <c r="Q28" i="2"/>
  <c r="Q37" i="2"/>
  <c r="Q52" i="2"/>
  <c r="N67" i="2"/>
  <c r="L73" i="2"/>
  <c r="H102" i="2"/>
  <c r="R111" i="2"/>
  <c r="R112" i="2"/>
  <c r="N118" i="2"/>
  <c r="N117" i="2" s="1"/>
  <c r="J123" i="2"/>
  <c r="J4" i="2"/>
  <c r="Q6" i="2"/>
  <c r="Q19" i="2"/>
  <c r="M20" i="2"/>
  <c r="Q24" i="2"/>
  <c r="Q34" i="2"/>
  <c r="M35" i="2"/>
  <c r="L51" i="2"/>
  <c r="M63" i="2"/>
  <c r="M61" i="2" s="1"/>
  <c r="N69" i="2"/>
  <c r="M71" i="2"/>
  <c r="Q90" i="2"/>
  <c r="J95" i="2"/>
  <c r="M97" i="2"/>
  <c r="G106" i="2"/>
  <c r="O110" i="2"/>
  <c r="O109" i="2" s="1"/>
  <c r="G117" i="2"/>
  <c r="K117" i="2"/>
  <c r="L4" i="2"/>
  <c r="Q15" i="2"/>
  <c r="M16" i="2"/>
  <c r="Q20" i="2"/>
  <c r="Q63" i="2"/>
  <c r="L68" i="2"/>
  <c r="J68" i="2"/>
  <c r="H91" i="2"/>
  <c r="Q91" i="2" s="1"/>
  <c r="G104" i="2"/>
  <c r="R105" i="2"/>
  <c r="R104" i="2" s="1"/>
  <c r="M108" i="2"/>
  <c r="M106" i="2" s="1"/>
  <c r="K113" i="2"/>
  <c r="H113" i="2"/>
  <c r="Q113" i="2" s="1"/>
  <c r="I117" i="2"/>
  <c r="R117" i="2" s="1"/>
  <c r="O133" i="2"/>
  <c r="Q13" i="2"/>
  <c r="K109" i="2"/>
  <c r="H121" i="2"/>
  <c r="Q121" i="2" s="1"/>
  <c r="R132" i="2"/>
  <c r="Q5" i="2"/>
  <c r="M6" i="2"/>
  <c r="L11" i="2"/>
  <c r="Q12" i="2"/>
  <c r="O13" i="2"/>
  <c r="O15" i="2"/>
  <c r="Q18" i="2"/>
  <c r="O19" i="2"/>
  <c r="Q22" i="2"/>
  <c r="O23" i="2"/>
  <c r="Q26" i="2"/>
  <c r="O27" i="2"/>
  <c r="Q30" i="2"/>
  <c r="Q33" i="2"/>
  <c r="O34" i="2"/>
  <c r="O37" i="2"/>
  <c r="O46" i="2"/>
  <c r="I51" i="2"/>
  <c r="R51" i="2" s="1"/>
  <c r="M52" i="2"/>
  <c r="J61" i="2"/>
  <c r="O62" i="2"/>
  <c r="O61" i="2" s="1"/>
  <c r="H64" i="2"/>
  <c r="Q64" i="2" s="1"/>
  <c r="M67" i="2"/>
  <c r="K68" i="2"/>
  <c r="M69" i="2"/>
  <c r="O53" i="2"/>
  <c r="J73" i="2"/>
  <c r="K4" i="2"/>
  <c r="O17" i="2"/>
  <c r="O21" i="2"/>
  <c r="O25" i="2"/>
  <c r="O29" i="2"/>
  <c r="O32" i="2"/>
  <c r="O36" i="2"/>
  <c r="L64" i="2"/>
  <c r="R70" i="2"/>
  <c r="O70" i="2"/>
  <c r="O68" i="2" s="1"/>
  <c r="K11" i="2"/>
  <c r="H4" i="2"/>
  <c r="Q4" i="2" s="1"/>
  <c r="O5" i="2"/>
  <c r="O4" i="2" s="1"/>
  <c r="I11" i="2"/>
  <c r="M12" i="2"/>
  <c r="Q17" i="2"/>
  <c r="M18" i="2"/>
  <c r="Q21" i="2"/>
  <c r="M22" i="2"/>
  <c r="Q25" i="2"/>
  <c r="M26" i="2"/>
  <c r="Q29" i="2"/>
  <c r="M30" i="2"/>
  <c r="Q32" i="2"/>
  <c r="M33" i="2"/>
  <c r="Q36" i="2"/>
  <c r="Q57" i="2"/>
  <c r="O58" i="2"/>
  <c r="K61" i="2"/>
  <c r="O66" i="2"/>
  <c r="O64" i="2" s="1"/>
  <c r="P75" i="2"/>
  <c r="M75" i="2"/>
  <c r="J81" i="2"/>
  <c r="L95" i="2"/>
  <c r="O104" i="2"/>
  <c r="K106" i="2"/>
  <c r="P110" i="2"/>
  <c r="L113" i="2"/>
  <c r="R114" i="2"/>
  <c r="O118" i="2"/>
  <c r="L81" i="2"/>
  <c r="M90" i="2"/>
  <c r="K91" i="2"/>
  <c r="O93" i="2"/>
  <c r="O101" i="2"/>
  <c r="K104" i="2"/>
  <c r="M104" i="2"/>
  <c r="P107" i="2"/>
  <c r="P106" i="2" s="1"/>
  <c r="R108" i="2"/>
  <c r="L109" i="2"/>
  <c r="N112" i="2"/>
  <c r="N114" i="2"/>
  <c r="N113" i="2" s="1"/>
  <c r="M116" i="2"/>
  <c r="M113" i="2" s="1"/>
  <c r="J117" i="2"/>
  <c r="J121" i="2"/>
  <c r="N132" i="2"/>
  <c r="O135" i="2"/>
  <c r="O134" i="2" s="1"/>
  <c r="K73" i="2"/>
  <c r="I91" i="2"/>
  <c r="R91" i="2" s="1"/>
  <c r="J91" i="2"/>
  <c r="O92" i="2"/>
  <c r="M91" i="2"/>
  <c r="H95" i="2"/>
  <c r="Q95" i="2" s="1"/>
  <c r="BD94" i="2"/>
  <c r="BD80" i="2" s="1"/>
  <c r="J102" i="2"/>
  <c r="K102" i="2"/>
  <c r="O102" i="2"/>
  <c r="M103" i="2"/>
  <c r="I106" i="2"/>
  <c r="H106" i="2"/>
  <c r="N110" i="2"/>
  <c r="J113" i="2"/>
  <c r="I121" i="2"/>
  <c r="I120" i="2" s="1"/>
  <c r="O121" i="2"/>
  <c r="K123" i="2"/>
  <c r="M124" i="2"/>
  <c r="M123" i="2" s="1"/>
  <c r="M126" i="2"/>
  <c r="N133" i="2"/>
  <c r="P105" i="2"/>
  <c r="P104" i="2" s="1"/>
  <c r="J109" i="2"/>
  <c r="P112" i="2"/>
  <c r="P114" i="2"/>
  <c r="L117" i="2"/>
  <c r="K126" i="2"/>
  <c r="N126" i="2"/>
  <c r="J134" i="2"/>
  <c r="N4" i="2"/>
  <c r="I4" i="2"/>
  <c r="P5" i="2"/>
  <c r="R6" i="2"/>
  <c r="R12" i="2"/>
  <c r="P13" i="2"/>
  <c r="R14" i="2"/>
  <c r="P15" i="2"/>
  <c r="R16" i="2"/>
  <c r="P17" i="2"/>
  <c r="R18" i="2"/>
  <c r="P19" i="2"/>
  <c r="R20" i="2"/>
  <c r="P21" i="2"/>
  <c r="R22" i="2"/>
  <c r="P23" i="2"/>
  <c r="R24" i="2"/>
  <c r="P25" i="2"/>
  <c r="R26" i="2"/>
  <c r="P27" i="2"/>
  <c r="R28" i="2"/>
  <c r="P29" i="2"/>
  <c r="R30" i="2"/>
  <c r="R31" i="2"/>
  <c r="P32" i="2"/>
  <c r="R33" i="2"/>
  <c r="P34" i="2"/>
  <c r="R35" i="2"/>
  <c r="P37" i="2"/>
  <c r="P46" i="2"/>
  <c r="O52" i="2"/>
  <c r="R52" i="2"/>
  <c r="M13" i="2"/>
  <c r="M17" i="2"/>
  <c r="M19" i="2"/>
  <c r="M21" i="2"/>
  <c r="M23" i="2"/>
  <c r="M27" i="2"/>
  <c r="M29" i="2"/>
  <c r="M32" i="2"/>
  <c r="M34" i="2"/>
  <c r="M36" i="2"/>
  <c r="M37" i="2"/>
  <c r="M46" i="2"/>
  <c r="M58" i="2"/>
  <c r="P58" i="2"/>
  <c r="M5" i="2"/>
  <c r="O12" i="2"/>
  <c r="M15" i="2"/>
  <c r="G4" i="2"/>
  <c r="O57" i="2"/>
  <c r="R57" i="2"/>
  <c r="M53" i="2"/>
  <c r="P53" i="2"/>
  <c r="P52" i="2"/>
  <c r="N53" i="2"/>
  <c r="N58" i="2"/>
  <c r="G61" i="2"/>
  <c r="N62" i="2"/>
  <c r="N61" i="2" s="1"/>
  <c r="I64" i="2"/>
  <c r="R64" i="2" s="1"/>
  <c r="N66" i="2"/>
  <c r="I68" i="2"/>
  <c r="R68" i="2" s="1"/>
  <c r="N70" i="2"/>
  <c r="I73" i="2"/>
  <c r="R73" i="2" s="1"/>
  <c r="G81" i="2"/>
  <c r="K81" i="2"/>
  <c r="G91" i="2"/>
  <c r="N92" i="2"/>
  <c r="N93" i="2"/>
  <c r="Y94" i="2"/>
  <c r="Y80" i="2" s="1"/>
  <c r="G95" i="2"/>
  <c r="K95" i="2"/>
  <c r="N101" i="2"/>
  <c r="G102" i="2"/>
  <c r="J106" i="2"/>
  <c r="M109" i="2"/>
  <c r="Q103" i="2"/>
  <c r="Q102" i="2" s="1"/>
  <c r="L104" i="2"/>
  <c r="H104" i="2"/>
  <c r="Q105" i="2"/>
  <c r="Q104" i="2" s="1"/>
  <c r="I61" i="2"/>
  <c r="P62" i="2"/>
  <c r="R63" i="2"/>
  <c r="G64" i="2"/>
  <c r="R65" i="2"/>
  <c r="P66" i="2"/>
  <c r="R67" i="2"/>
  <c r="G68" i="2"/>
  <c r="R69" i="2"/>
  <c r="P70" i="2"/>
  <c r="R71" i="2"/>
  <c r="G73" i="2"/>
  <c r="R75" i="2"/>
  <c r="I81" i="2"/>
  <c r="R90" i="2"/>
  <c r="P92" i="2"/>
  <c r="P93" i="2"/>
  <c r="R97" i="2"/>
  <c r="P101" i="2"/>
  <c r="R103" i="2"/>
  <c r="N105" i="2"/>
  <c r="L106" i="2"/>
  <c r="N108" i="2"/>
  <c r="Q108" i="2"/>
  <c r="R123" i="2"/>
  <c r="H68" i="2"/>
  <c r="H73" i="2"/>
  <c r="Q73" i="2" s="1"/>
  <c r="C94" i="2"/>
  <c r="C80" i="2" s="1"/>
  <c r="J104" i="2"/>
  <c r="Q107" i="2"/>
  <c r="Q106" i="2" s="1"/>
  <c r="Q110" i="2"/>
  <c r="Q114" i="2"/>
  <c r="H117" i="2"/>
  <c r="Q117" i="2" s="1"/>
  <c r="M118" i="2"/>
  <c r="BC120" i="2"/>
  <c r="L123" i="2"/>
  <c r="H123" i="2"/>
  <c r="N124" i="2"/>
  <c r="N123" i="2" s="1"/>
  <c r="C125" i="2"/>
  <c r="J131" i="2"/>
  <c r="L121" i="2"/>
  <c r="Q122" i="2"/>
  <c r="O124" i="2"/>
  <c r="O123" i="2" s="1"/>
  <c r="R124" i="2"/>
  <c r="J126" i="2"/>
  <c r="BC125" i="2"/>
  <c r="M132" i="2"/>
  <c r="P132" i="2"/>
  <c r="Q111" i="2"/>
  <c r="Q116" i="2"/>
  <c r="BE120" i="2"/>
  <c r="G121" i="2"/>
  <c r="R122" i="2"/>
  <c r="L126" i="2"/>
  <c r="G131" i="2"/>
  <c r="I131" i="2"/>
  <c r="R131" i="2" s="1"/>
  <c r="N122" i="2"/>
  <c r="I126" i="2"/>
  <c r="M133" i="2"/>
  <c r="P133" i="2"/>
  <c r="N135" i="2"/>
  <c r="P135" i="2"/>
  <c r="AP119" i="2" l="1"/>
  <c r="AL119" i="2"/>
  <c r="AL3" i="2" s="1"/>
  <c r="AT119" i="2"/>
  <c r="AT3" i="2" s="1"/>
  <c r="AD119" i="2"/>
  <c r="AD3" i="2" s="1"/>
  <c r="R106" i="2"/>
  <c r="AY119" i="2"/>
  <c r="AY3" i="2" s="1"/>
  <c r="V119" i="2"/>
  <c r="V3" i="2" s="1"/>
  <c r="AX119" i="2"/>
  <c r="AH119" i="2"/>
  <c r="AH3" i="2" s="1"/>
  <c r="F119" i="2"/>
  <c r="N51" i="2"/>
  <c r="M4" i="2"/>
  <c r="BA119" i="2"/>
  <c r="BA3" i="2" s="1"/>
  <c r="AK119" i="2"/>
  <c r="AK3" i="2" s="1"/>
  <c r="U119" i="2"/>
  <c r="BB119" i="2"/>
  <c r="BB3" i="2" s="1"/>
  <c r="AO119" i="2"/>
  <c r="AO3" i="2" s="1"/>
  <c r="Y119" i="2"/>
  <c r="Y3" i="2" s="1"/>
  <c r="O11" i="2"/>
  <c r="AW119" i="2"/>
  <c r="AW3" i="2" s="1"/>
  <c r="AG119" i="2"/>
  <c r="AG3" i="2" s="1"/>
  <c r="D119" i="2"/>
  <c r="D3" i="2" s="1"/>
  <c r="M102" i="2"/>
  <c r="W119" i="2"/>
  <c r="W3" i="2" s="1"/>
  <c r="C119" i="2"/>
  <c r="M11" i="2"/>
  <c r="AI119" i="2"/>
  <c r="AI3" i="2" s="1"/>
  <c r="S119" i="2"/>
  <c r="S3" i="2" s="1"/>
  <c r="AA119" i="2"/>
  <c r="AA3" i="2" s="1"/>
  <c r="J125" i="2"/>
  <c r="AM119" i="2"/>
  <c r="AM3" i="2" s="1"/>
  <c r="M64" i="2"/>
  <c r="AU119" i="2"/>
  <c r="AU3" i="2" s="1"/>
  <c r="AE119" i="2"/>
  <c r="AE3" i="2" s="1"/>
  <c r="AS119" i="2"/>
  <c r="AS3" i="2" s="1"/>
  <c r="AC119" i="2"/>
  <c r="AC3" i="2" s="1"/>
  <c r="AQ119" i="2"/>
  <c r="AQ3" i="2" s="1"/>
  <c r="Q11" i="2"/>
  <c r="K125" i="2"/>
  <c r="AB119" i="2"/>
  <c r="AB3" i="2" s="1"/>
  <c r="G50" i="2"/>
  <c r="H50" i="2"/>
  <c r="O106" i="2"/>
  <c r="K120" i="2"/>
  <c r="H125" i="2"/>
  <c r="Q125" i="2" s="1"/>
  <c r="I94" i="2"/>
  <c r="R94" i="2" s="1"/>
  <c r="AZ119" i="2"/>
  <c r="AZ3" i="2" s="1"/>
  <c r="L125" i="2"/>
  <c r="O131" i="2"/>
  <c r="AV119" i="2"/>
  <c r="AV3" i="2" s="1"/>
  <c r="U3" i="2"/>
  <c r="AX3" i="2"/>
  <c r="AJ119" i="2"/>
  <c r="AJ3" i="2" s="1"/>
  <c r="T119" i="2"/>
  <c r="T3" i="2" s="1"/>
  <c r="AR119" i="2"/>
  <c r="AR3" i="2" s="1"/>
  <c r="AF119" i="2"/>
  <c r="AF3" i="2" s="1"/>
  <c r="M68" i="2"/>
  <c r="O51" i="2"/>
  <c r="O126" i="2"/>
  <c r="M117" i="2"/>
  <c r="N64" i="2"/>
  <c r="N106" i="2"/>
  <c r="R102" i="2"/>
  <c r="M131" i="2"/>
  <c r="M125" i="2" s="1"/>
  <c r="N134" i="2"/>
  <c r="M51" i="2"/>
  <c r="L50" i="2"/>
  <c r="N68" i="2"/>
  <c r="R11" i="2"/>
  <c r="R121" i="2"/>
  <c r="J50" i="2"/>
  <c r="BD119" i="2"/>
  <c r="AN119" i="2"/>
  <c r="X119" i="2"/>
  <c r="X3" i="2" s="1"/>
  <c r="K50" i="2"/>
  <c r="M95" i="2"/>
  <c r="P113" i="2"/>
  <c r="O117" i="2"/>
  <c r="O91" i="2"/>
  <c r="K94" i="2"/>
  <c r="K80" i="2"/>
  <c r="H94" i="2"/>
  <c r="Q94" i="2" s="1"/>
  <c r="P51" i="2"/>
  <c r="N109" i="2"/>
  <c r="AP3" i="2"/>
  <c r="Z3" i="2"/>
  <c r="L80" i="2"/>
  <c r="P109" i="2"/>
  <c r="M81" i="2"/>
  <c r="O81" i="2"/>
  <c r="O73" i="2"/>
  <c r="N102" i="2"/>
  <c r="O95" i="2"/>
  <c r="P117" i="2"/>
  <c r="M120" i="2"/>
  <c r="J94" i="2"/>
  <c r="L94" i="2"/>
  <c r="N73" i="2"/>
  <c r="N91" i="2"/>
  <c r="M73" i="2"/>
  <c r="N131" i="2"/>
  <c r="N125" i="2" s="1"/>
  <c r="O120" i="2"/>
  <c r="N121" i="2"/>
  <c r="N120" i="2" s="1"/>
  <c r="J80" i="2"/>
  <c r="P121" i="2"/>
  <c r="G120" i="2"/>
  <c r="N104" i="2"/>
  <c r="P73" i="2"/>
  <c r="P68" i="2"/>
  <c r="P64" i="2"/>
  <c r="N81" i="2"/>
  <c r="P11" i="2"/>
  <c r="P131" i="2"/>
  <c r="BE119" i="2"/>
  <c r="L120" i="2"/>
  <c r="R120" i="2"/>
  <c r="P91" i="2"/>
  <c r="P4" i="2"/>
  <c r="R4" i="2"/>
  <c r="G125" i="2"/>
  <c r="H120" i="2"/>
  <c r="Q123" i="2"/>
  <c r="J120" i="2"/>
  <c r="BC119" i="2"/>
  <c r="BC3" i="2" s="1"/>
  <c r="R81" i="2"/>
  <c r="G94" i="2"/>
  <c r="P95" i="2"/>
  <c r="P61" i="2"/>
  <c r="R126" i="2"/>
  <c r="I125" i="2"/>
  <c r="R125" i="2" s="1"/>
  <c r="Q68" i="2"/>
  <c r="R61" i="2"/>
  <c r="I50" i="2"/>
  <c r="R50" i="2" s="1"/>
  <c r="N95" i="2"/>
  <c r="P81" i="2"/>
  <c r="N50" i="2" l="1"/>
  <c r="M50" i="2"/>
  <c r="O50" i="2"/>
  <c r="O94" i="2"/>
  <c r="O80" i="2" s="1"/>
  <c r="AN3" i="2"/>
  <c r="O125" i="2"/>
  <c r="O119" i="2" s="1"/>
  <c r="I80" i="2"/>
  <c r="K119" i="2"/>
  <c r="F3" i="2"/>
  <c r="BD3" i="2"/>
  <c r="K3" i="2" s="1"/>
  <c r="M94" i="2"/>
  <c r="M80" i="2" s="1"/>
  <c r="H80" i="2"/>
  <c r="N94" i="2"/>
  <c r="N80" i="2" s="1"/>
  <c r="M119" i="2"/>
  <c r="N119" i="2"/>
  <c r="C3" i="2"/>
  <c r="Q120" i="2"/>
  <c r="H119" i="2"/>
  <c r="Q119" i="2" s="1"/>
  <c r="P94" i="2"/>
  <c r="J119" i="2"/>
  <c r="I119" i="2"/>
  <c r="R119" i="2" s="1"/>
  <c r="P125" i="2"/>
  <c r="L119" i="2"/>
  <c r="BE3" i="2"/>
  <c r="L3" i="2" s="1"/>
  <c r="P120" i="2"/>
  <c r="G119" i="2"/>
  <c r="G80" i="2"/>
  <c r="Q50" i="2"/>
  <c r="P50" i="2"/>
  <c r="R80" i="2" l="1"/>
  <c r="J3" i="2"/>
  <c r="Q80" i="2"/>
  <c r="M3" i="2"/>
  <c r="N3" i="2"/>
  <c r="O3" i="2"/>
  <c r="H3" i="2"/>
  <c r="Q3" i="2" s="1"/>
  <c r="P119" i="2"/>
  <c r="P80" i="2"/>
  <c r="G3" i="2"/>
  <c r="I3" i="2"/>
  <c r="R3" i="2" s="1"/>
  <c r="P3" i="2" l="1"/>
</calcChain>
</file>

<file path=xl/comments1.xml><?xml version="1.0" encoding="utf-8"?>
<comments xmlns="http://schemas.openxmlformats.org/spreadsheetml/2006/main">
  <authors>
    <author>Setor Contabil</author>
    <author/>
  </authors>
  <commentList>
    <comment ref="F2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OUTRAS FONTES</t>
        </r>
      </text>
    </comment>
    <comment ref="B3" authorId="1">
      <text>
        <r>
          <rPr>
            <sz val="11"/>
            <color rgb="FF000000"/>
            <rFont val="Calibri"/>
            <family val="2"/>
          </rPr>
          <t>Incluir o valor da MATRIZ PREVISTO PARA O CAMPUS
======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FECHADO
descontar valores descontados/empenhados na reitoria - L66 e L71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RAP2020= 2.334.448,14
RAP2019= 3578,54 EBC
RAP2019=412,50 W&amp;V
T.2.338.439,18-FECHADO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saldo da conta 622920101=115932,60 (maio/21) - empenho 21NE000018=880,00(fonte 0100)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Saldo da conta 6311000000 - rap2019=4.865,14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enviado nc reitoria para empenhar 130 coffe breack
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EMPENHADO PELA REITORIA-enviado NC
</t>
        </r>
      </text>
    </comment>
    <comment ref="AQ14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comp.agosto/21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período de ago a dez empenhado R$ 40.040,12 p/mês = 10 postos
</t>
        </r>
      </text>
    </comment>
    <comment ref="T18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COMP.11-2021 E 12-2021-Juliano estava de férias e atestou somente em janeiro2021
</t>
        </r>
      </text>
    </comment>
    <comment ref="Z18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COMP.01-2021
</t>
        </r>
      </text>
    </comment>
    <comment ref="AB18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COMP.02-2021</t>
        </r>
      </text>
    </comment>
    <comment ref="AE18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COMP.03-2021 E 04/2021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339039-79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COMPRA DE 02 AR CONDICIONADO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reitoria</t>
        </r>
      </text>
    </comment>
    <comment ref="AE30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desc.até maio/21 na reitoria</t>
        </r>
      </text>
    </comment>
    <comment ref="AZ30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PAGO NA REITORIA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Emenda Bohn Gass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Laboratórios de Ensino, Pesquisa, Extensão e Produção (LEPEPs)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NC 09-PARA REITORIA-Empenhar ref.aquisição de 10totens p/alcool gel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SACOS PARA EMPACOTADEIRA = 4740,00
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enviado NC para Reitoria
</t>
        </r>
      </text>
    </comment>
    <comment ref="M38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saldo de RAP 2021= 30.000,00 NO CONTRATO DA REITORIA DE ALMOXARIFADO VIRTUAL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TED SETEC para empenhar o reequelibrio Prédio D e Aditivo Predio D</t>
        </r>
      </text>
    </comment>
    <comment ref="AH48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MULTA E JUROS S/FATURA DA ENERGIA ELETRICA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contrato finaliza em setembro e não pode ser prorrogado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contrato finaliza em setembro e não pode ser prorrogado
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339039-83</t>
        </r>
      </text>
    </comment>
    <comment ref="B57" authorId="1">
      <text>
        <r>
          <rPr>
            <sz val="11"/>
            <color rgb="FF000000"/>
            <rFont val="Calibri"/>
            <family val="2"/>
          </rPr>
          <t>======
ID#AAAAL2MisYI
Reitoria desconta do orçamento.
(Reserva Institucional 1%)
(até maio R$8.764,11)</t>
        </r>
      </text>
    </comment>
    <comment ref="B58" authorId="1">
      <text>
        <r>
          <rPr>
            <sz val="11"/>
            <color rgb="FF000000"/>
            <rFont val="Calibri"/>
            <family val="2"/>
          </rPr>
          <t>======
ID#AAAAL2MisYQ
Gilson Parodes    (2021-03-26 01:22:38)
(Reitoria) 
(Reserva Institucional 1%)
(R$ X,XX)</t>
        </r>
      </text>
    </comment>
    <comment ref="B61" authorId="1">
      <text>
        <r>
          <rPr>
            <sz val="11"/>
            <color rgb="FF000000"/>
            <rFont val="Calibri"/>
            <family val="2"/>
          </rPr>
          <t>======
descontado do orçamento na reitoria
(Reserva Institucional 1%)
(até maio R$8.764,11)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NC10-PARA REITORIA-REFERENTE CURSO APOSENTADORIA PARA ANA LORENZON</t>
        </r>
      </text>
    </comment>
    <comment ref="AZ65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PAGO NA REITORIA
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RECEBIDO 8.400,00 DE RECURSO DE OUTROS CAMPUS- Total pago 10.800,00
</t>
        </r>
      </text>
    </comment>
    <comment ref="AT67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2.400,00 IFFAR SANTO AUGUSTO</t>
        </r>
      </text>
    </comment>
    <comment ref="B74" authorId="1">
      <text>
        <r>
          <rPr>
            <sz val="11"/>
            <color rgb="FF000000"/>
            <rFont val="Calibri"/>
            <family val="2"/>
          </rPr>
          <t>======
ID#AAAAL2Miso8
Gilson Parodes    (2021-03-26 01:33:15)
(Reitoria) 
(Reserva Institucional 2,5%)
(R$ X,XX) 
(Despesa de capital)</t>
        </r>
      </text>
    </comment>
    <comment ref="F76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24.620,00 -5 Switch
-ENVIADO NC16 PARA FW EMPENHAR</t>
        </r>
      </text>
    </comment>
    <comment ref="O76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24620,00 EMPENHADO POR FW - 5 SWHIT</t>
        </r>
      </text>
    </comment>
    <comment ref="B91" authorId="1">
      <text>
        <r>
          <rPr>
            <sz val="11"/>
            <color rgb="FF000000"/>
            <rFont val="Calibri"/>
            <family val="2"/>
          </rPr>
          <t>======
ID#AAAAL2Mispc
Gilson Parodes    (2021-03-26 01:35:50)
(Reserva Institucional 1%)
(R$ X,XX)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MATERIAL DE CONSUMO
</t>
        </r>
      </text>
    </comment>
    <comment ref="C9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PROEJTO MIQUELA-IMPRESSAO DE LIVROS</t>
        </r>
      </text>
    </comment>
    <comment ref="AD103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RP03</t>
        </r>
      </text>
    </comment>
    <comment ref="B109" authorId="1">
      <text>
        <r>
          <rPr>
            <sz val="11"/>
            <color rgb="FF000000"/>
            <rFont val="Calibri"/>
            <family val="2"/>
          </rPr>
          <t>======
ID#AAAAL2MisqI
Gilson Parodes    (2021-03-26 01:40:31)
(Reserva Institucional 1,5%)
(R$ X,XX)</t>
        </r>
      </text>
    </comment>
    <comment ref="B121" authorId="1">
      <text>
        <r>
          <rPr>
            <sz val="11"/>
            <color rgb="FF000000"/>
            <rFont val="Calibri"/>
            <family val="2"/>
          </rPr>
          <t>======
ID#AAAAL2Misqw
Gilson Parodes    (2021-03-26 01:45:44)
(Reserva Institucional 1,5%)
(R$ X,XX)</t>
        </r>
      </text>
    </comment>
    <comment ref="C122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NC 10- PARA REITORIA - EDITAL 224-2021-DPPGI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descontado ref. estagiária Giorgia e Karen- até maio R$ 5.254,16, correto R$ 12.478,68</t>
        </r>
      </text>
    </comment>
    <comment ref="C128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FALTOU DESCONTAR 7224,52 DE UMA ESTAGIARIA</t>
        </r>
      </text>
    </comment>
    <comment ref="Z130" authorId="0">
      <text>
        <r>
          <rPr>
            <b/>
            <sz val="9"/>
            <color indexed="81"/>
            <rFont val="Tahoma"/>
            <family val="2"/>
          </rPr>
          <t>Setor Contabil:</t>
        </r>
        <r>
          <rPr>
            <sz val="9"/>
            <color indexed="81"/>
            <rFont val="Tahoma"/>
            <family val="2"/>
          </rPr>
          <t xml:space="preserve">
EMPENHOS ANULADOS
</t>
        </r>
      </text>
    </comment>
  </commentList>
</comments>
</file>

<file path=xl/sharedStrings.xml><?xml version="1.0" encoding="utf-8"?>
<sst xmlns="http://schemas.openxmlformats.org/spreadsheetml/2006/main" count="304" uniqueCount="205">
  <si>
    <t>VALOR EMPENHADO</t>
  </si>
  <si>
    <t>VALOR LIQUIDADO</t>
  </si>
  <si>
    <t xml:space="preserve">VALOR PAGO </t>
  </si>
  <si>
    <t>SALDO (DISPONÍVEL NO EMPENHO)</t>
  </si>
  <si>
    <t>PERCENTUAL GASTO EM RELAÇÃO AO EMPENHADO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</si>
  <si>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</si>
  <si>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</si>
  <si>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</si>
  <si>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</si>
  <si>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</si>
  <si>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</si>
  <si>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</si>
  <si>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</si>
  <si>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</si>
  <si>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</si>
  <si>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</si>
  <si>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</si>
  <si>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PAGAMENTOS REALIZADOS NO EXERCÍCIO</t>
  </si>
  <si>
    <t>PLANO DE AÇÃO 2021</t>
  </si>
  <si>
    <t>DESCRIÇÃO DA AÇÃO</t>
  </si>
  <si>
    <t>OUTROS</t>
  </si>
  <si>
    <t>MATRIZ</t>
  </si>
  <si>
    <t>RAP</t>
  </si>
  <si>
    <t>MATRIZ
(empenhado)</t>
  </si>
  <si>
    <t>OUTROS 
(empenhado)</t>
  </si>
  <si>
    <t>MATRIZ
(emp)</t>
  </si>
  <si>
    <t>OUTROS 
(emp.)</t>
  </si>
  <si>
    <t>RUBRICA</t>
  </si>
  <si>
    <t>TOTAL</t>
  </si>
  <si>
    <t>DG - DIREÇÃO GERAL</t>
  </si>
  <si>
    <t>Diárias a servidores</t>
  </si>
  <si>
    <t>Reembolso de Passagens (terrestres, aéreas, ...)</t>
  </si>
  <si>
    <t>DAD - DIRETORIA DE ADMINISTRAÇÃO</t>
  </si>
  <si>
    <t>Diárias a colaboradores</t>
  </si>
  <si>
    <t>Juros e Multa / taxa e afins (isbn- art)</t>
  </si>
  <si>
    <t>DPDI - DIRETORIA DE PLANEJ E DESENV INSTITUCIONAL</t>
  </si>
  <si>
    <t>GERAL</t>
  </si>
  <si>
    <t>Material de consumo</t>
  </si>
  <si>
    <t>Horas Curso/Concurso</t>
  </si>
  <si>
    <t>CAPACITAÇÃO DE SERVIDORES</t>
  </si>
  <si>
    <t>Inscrições</t>
  </si>
  <si>
    <t>PROCESSO SELETIVO</t>
  </si>
  <si>
    <t>TI</t>
  </si>
  <si>
    <t xml:space="preserve">Manutenção de Equipamentos de Informática </t>
  </si>
  <si>
    <r>
      <rPr>
        <sz val="12"/>
        <color rgb="FF0000FF"/>
        <rFont val="Calibri"/>
        <family val="2"/>
      </rPr>
      <t xml:space="preserve">Equipamentos e Material Permanente </t>
    </r>
    <r>
      <rPr>
        <b/>
        <sz val="12"/>
        <color rgb="FF0000FF"/>
        <rFont val="Calibri"/>
        <family val="2"/>
      </rPr>
      <t>(Despesa de capital)</t>
    </r>
  </si>
  <si>
    <t xml:space="preserve">Licença de softwares </t>
  </si>
  <si>
    <t>DE - DIRETORIA DE ENSINO</t>
  </si>
  <si>
    <r>
      <rPr>
        <sz val="12"/>
        <color rgb="FF0000FF"/>
        <rFont val="Calibri"/>
        <family val="2"/>
      </rPr>
      <t xml:space="preserve">Material permanente </t>
    </r>
    <r>
      <rPr>
        <b/>
        <sz val="12"/>
        <color rgb="FF0000FF"/>
        <rFont val="Calibri"/>
        <family val="2"/>
      </rPr>
      <t>(Despesa de capital)</t>
    </r>
  </si>
  <si>
    <t>Bolsas PROJEN / Monitorias</t>
  </si>
  <si>
    <t>Aux. a pesquisadores projetos de ensino (fomento)</t>
  </si>
  <si>
    <t>ASSISTÊNCIA ESTUDANTIL</t>
  </si>
  <si>
    <t xml:space="preserve">5% CUSTEIO DO CAMPUS </t>
  </si>
  <si>
    <t xml:space="preserve">Monitor de Aluno Especial </t>
  </si>
  <si>
    <t>PNAES</t>
  </si>
  <si>
    <t>Auxílios/Bolsa Estudantes (Permanência, Transporte, Eventos e Atleta)</t>
  </si>
  <si>
    <t>RIP</t>
  </si>
  <si>
    <t>FNDE</t>
  </si>
  <si>
    <t xml:space="preserve">Alimentação Escolar </t>
  </si>
  <si>
    <t xml:space="preserve">AÇÕES INCLUSIVAS </t>
  </si>
  <si>
    <t xml:space="preserve">Patronal </t>
  </si>
  <si>
    <t>Serviços de seleção e treinamento</t>
  </si>
  <si>
    <t>BIBLIOTECA</t>
  </si>
  <si>
    <t>Material Permanente (móveis / livros)</t>
  </si>
  <si>
    <t>COORDENAÇÕES EIXOS/CURSOS</t>
  </si>
  <si>
    <t>Material permanente (equipamentos para laboratório) (NUGEDI, NUGEA)</t>
  </si>
  <si>
    <t>DPEP - DIRETORIA DE PESQUISA, EXTENSÃO E PRODUÇÃO</t>
  </si>
  <si>
    <t xml:space="preserve">PESQUISA </t>
  </si>
  <si>
    <t>OUTRAS DESPESAS COM PESQUISA</t>
  </si>
  <si>
    <t>EXTENSÃO</t>
  </si>
  <si>
    <t>PROJETOS DE EXTENSÃO</t>
  </si>
  <si>
    <t>Bolsas / Projetos Extensão alunos</t>
  </si>
  <si>
    <t>OUTRAS DESPESAS COM EXTENSÃO</t>
  </si>
  <si>
    <t xml:space="preserve">Nugedis </t>
  </si>
  <si>
    <t>PRODUÇÃO</t>
  </si>
  <si>
    <t>Deslocamento - Diárias a servidores</t>
  </si>
  <si>
    <t>Aluguel de Sala</t>
  </si>
  <si>
    <t>Sonorização</t>
  </si>
  <si>
    <t>Confecções, instalações e locações de bens imóveis</t>
  </si>
  <si>
    <t>Fornecimento de coofebreak em eventos</t>
  </si>
  <si>
    <t>Serviços postais, Correios</t>
  </si>
  <si>
    <t>Manutenção elétrica</t>
  </si>
  <si>
    <t>Manutenção persianas e cortinas</t>
  </si>
  <si>
    <t>Manutenção de ar condicionado</t>
  </si>
  <si>
    <t>Manutenção e conservação de bens móveis- hidráulica-reparos</t>
  </si>
  <si>
    <t>Manutenção de equipamentos de laboratório</t>
  </si>
  <si>
    <t>Manutenção de maquinários agrícolas</t>
  </si>
  <si>
    <t>Manutenção do serviço de detetização</t>
  </si>
  <si>
    <t>Aquisição de equipamentos de uso geral</t>
  </si>
  <si>
    <t>Aquisição de mobiliário</t>
  </si>
  <si>
    <t>Manutenção de frotas - Combustível</t>
  </si>
  <si>
    <t>Material consumo LEPEPs Ensino</t>
  </si>
  <si>
    <t>Serv.Tec.Profissionais-Projeto de Plano de Prevenção contra incêndio</t>
  </si>
  <si>
    <t>33.90.47-16</t>
  </si>
  <si>
    <t>Manutenção de Hardware</t>
  </si>
  <si>
    <t>Processo Seletivo - serviços de seleção e treinamento</t>
  </si>
  <si>
    <t>Processo Seletivo - serviços gráficos</t>
  </si>
  <si>
    <t>EBC</t>
  </si>
  <si>
    <t>Fornecimento Alimentação (orçamento)</t>
  </si>
  <si>
    <t>Bolsa Coordenação Pós</t>
  </si>
  <si>
    <t>Serviços Gráficos</t>
  </si>
  <si>
    <t>33.90.14-14</t>
  </si>
  <si>
    <t>33.90.33-01</t>
  </si>
  <si>
    <t>33.90.39-10</t>
  </si>
  <si>
    <t>33.90.39-12</t>
  </si>
  <si>
    <t>33.90.39-14</t>
  </si>
  <si>
    <t>33.90.39-23</t>
  </si>
  <si>
    <t>Vigilância Predial (4 postos de trabalho)</t>
  </si>
  <si>
    <t>Material consumo LEPEPs  Produção</t>
  </si>
  <si>
    <t>Telefonia e Internet - Manutenção central telefônica</t>
  </si>
  <si>
    <t>44.90.52.35</t>
  </si>
  <si>
    <t>Material de Construção</t>
  </si>
  <si>
    <t>RAP ANULADO</t>
  </si>
  <si>
    <t>Reembolso</t>
  </si>
  <si>
    <t xml:space="preserve">Coordenação de Pós Graduação </t>
  </si>
  <si>
    <t xml:space="preserve">Material Saúde Consumo </t>
  </si>
  <si>
    <t xml:space="preserve">Processo Seletivo - Carro de Som </t>
  </si>
  <si>
    <t>33.90.39-43</t>
  </si>
  <si>
    <t>33.90.37-03</t>
  </si>
  <si>
    <t>33.90.39-47</t>
  </si>
  <si>
    <t>33.90.37-02</t>
  </si>
  <si>
    <t>33.90.37-01</t>
  </si>
  <si>
    <t>33.90.39-78</t>
  </si>
  <si>
    <t>33.90.39-17</t>
  </si>
  <si>
    <t>33.90.39-20</t>
  </si>
  <si>
    <t>33.90.39-16</t>
  </si>
  <si>
    <t>44.90.52-99</t>
  </si>
  <si>
    <t>44.90.52-42</t>
  </si>
  <si>
    <t>33.90.30-01</t>
  </si>
  <si>
    <t>33.90.47-10</t>
  </si>
  <si>
    <t>33.90.39-69</t>
  </si>
  <si>
    <t>33.90.30-99</t>
  </si>
  <si>
    <t>33.90.30-16</t>
  </si>
  <si>
    <t>44.90.51-91</t>
  </si>
  <si>
    <t>33.90.39-05</t>
  </si>
  <si>
    <t>33.90.33-99</t>
  </si>
  <si>
    <t>33.90.39-58</t>
  </si>
  <si>
    <t>33.90.40-13</t>
  </si>
  <si>
    <t>33.90.39-56</t>
  </si>
  <si>
    <t>33.90.40-16</t>
  </si>
  <si>
    <t>33.90.36-28</t>
  </si>
  <si>
    <t>33.90.39-63</t>
  </si>
  <si>
    <t>33.90.39-90</t>
  </si>
  <si>
    <t>44.90.52</t>
  </si>
  <si>
    <t>33.90.39-11</t>
  </si>
  <si>
    <t>33.90.30</t>
  </si>
  <si>
    <t>33.90.36-02</t>
  </si>
  <si>
    <t>44.90.52-35</t>
  </si>
  <si>
    <t>33.90.33</t>
  </si>
  <si>
    <t>33.90.18-01</t>
  </si>
  <si>
    <t>33.90.20-01</t>
  </si>
  <si>
    <t>33.90.47-18</t>
  </si>
  <si>
    <t>33.90.18</t>
  </si>
  <si>
    <t>33.90.39-41</t>
  </si>
  <si>
    <t>33.90.32-05</t>
  </si>
  <si>
    <t>44.90.52-18</t>
  </si>
  <si>
    <t>33.90.39</t>
  </si>
  <si>
    <t>33.90.36-07</t>
  </si>
  <si>
    <t>Biblioteca- Etiquetas RFD</t>
  </si>
  <si>
    <t>Locação de software</t>
  </si>
  <si>
    <t>PROJETOS DE PESQUISA (reserva 1,5% = 31.781,88)</t>
  </si>
  <si>
    <t>Alimentação Escolar (Agricultura Familiar) -chamada Pública</t>
  </si>
  <si>
    <t>PID (reserva Institucional 1%= R$ 21.187,92)</t>
  </si>
  <si>
    <t>PIIQP (reserva institucional  1%=21.187,92)</t>
  </si>
  <si>
    <t>PIIQPPE (reserva institucional  1%=21.187,92)</t>
  </si>
  <si>
    <t>FUNDO DE TI (reserva instit. 2,5%= 44.219,80) + 10.000,00 INVESTIMENTO</t>
  </si>
  <si>
    <t>PROJETOS DE ENSINO (reserva institucional 1%=21.187,92)</t>
  </si>
  <si>
    <t xml:space="preserve">Estagiários </t>
  </si>
  <si>
    <t>Ações inclusivas - (cuidadores,...)</t>
  </si>
  <si>
    <t xml:space="preserve">Bolsas de Iniciação Científica e Tecn. </t>
  </si>
  <si>
    <t>Almoxarifado Virtual - alocar 75.000,00</t>
  </si>
  <si>
    <t>Biblioteca -Etiquetas</t>
  </si>
  <si>
    <t>Empacotadeira+bebedouro+móveis</t>
  </si>
  <si>
    <r>
      <t xml:space="preserve">Gráfica - </t>
    </r>
    <r>
      <rPr>
        <b/>
        <sz val="12"/>
        <color rgb="FF00B050"/>
        <rFont val="Calibri"/>
        <family val="2"/>
      </rPr>
      <t>emenda parlamentar Bohn Gass</t>
    </r>
  </si>
  <si>
    <r>
      <t>Material de Consumo (sala de música)</t>
    </r>
    <r>
      <rPr>
        <b/>
        <sz val="12"/>
        <color rgb="FF00B050"/>
        <rFont val="Calibri"/>
        <family val="2"/>
      </rPr>
      <t>-emenda parlamentar Bohn Gass</t>
    </r>
  </si>
  <si>
    <r>
      <t xml:space="preserve">Equipamentos - </t>
    </r>
    <r>
      <rPr>
        <b/>
        <sz val="12"/>
        <color rgb="FF7030A0"/>
        <rFont val="Calibri"/>
        <family val="2"/>
      </rPr>
      <t>Emenda de Bancada Gaúcha</t>
    </r>
  </si>
  <si>
    <r>
      <t>Aquisição de móveis -</t>
    </r>
    <r>
      <rPr>
        <b/>
        <sz val="12"/>
        <color rgb="FF7030A0"/>
        <rFont val="Calibri"/>
        <family val="2"/>
      </rPr>
      <t xml:space="preserve"> Emenda da Bancada Gaúcha</t>
    </r>
  </si>
  <si>
    <r>
      <t xml:space="preserve">Alimentação Escolar - Fontana,Schneider </t>
    </r>
    <r>
      <rPr>
        <sz val="12"/>
        <color rgb="FF7030A0"/>
        <rFont val="Calibri"/>
        <family val="2"/>
      </rPr>
      <t>(FNDE)</t>
    </r>
  </si>
  <si>
    <t>44.90.51</t>
  </si>
  <si>
    <t>Obrigações tributárias - pis/pasep</t>
  </si>
  <si>
    <t>Energia elétrica</t>
  </si>
  <si>
    <t xml:space="preserve">Limpeza </t>
  </si>
  <si>
    <t xml:space="preserve">Jardinagem </t>
  </si>
  <si>
    <t xml:space="preserve">Coleta de Resíduos </t>
  </si>
  <si>
    <t xml:space="preserve">Manutenção predial Infra </t>
  </si>
  <si>
    <t>Manutenção Agropecuária</t>
  </si>
  <si>
    <t xml:space="preserve">Manutenção extintores e mangueiras </t>
  </si>
  <si>
    <t xml:space="preserve">Publicidade legal em jornais </t>
  </si>
  <si>
    <t xml:space="preserve">Seguro veicular e IPVA </t>
  </si>
  <si>
    <t>Material de Consumo conservação</t>
  </si>
  <si>
    <t xml:space="preserve">Material de expediente </t>
  </si>
  <si>
    <t>Ampliação do Prédio Administrativo - Prédio D</t>
  </si>
  <si>
    <t xml:space="preserve">Ampliação do Prédio Administrativo - Prédio D </t>
  </si>
  <si>
    <t xml:space="preserve">Reforma do refeitório e rede de gás </t>
  </si>
  <si>
    <t xml:space="preserve">Execução dos Projetos de PPCI </t>
  </si>
  <si>
    <t>Serv.Tec.Profissionais-Adequação do lab.de Alimento</t>
  </si>
  <si>
    <t xml:space="preserve">Telefonia e Internet - Telefonia Fixa </t>
  </si>
  <si>
    <t>Telefonia e Internet - Link Internet</t>
  </si>
  <si>
    <t>Manutenção de Impressoras/Outsourcing de Impressão</t>
  </si>
  <si>
    <t>Manutenção Equipamentos Laboratórios</t>
  </si>
  <si>
    <t xml:space="preserve">Material de Tic Permanente </t>
  </si>
  <si>
    <t>Equipamentos para Áudio-Projetor Multimidia</t>
  </si>
  <si>
    <t xml:space="preserve">Obra de Ampliação CAE </t>
  </si>
  <si>
    <t>PLANILHA DE  CONTROLE DA EXECUÇÃO ORÇAMENTÁRIA-2021</t>
  </si>
  <si>
    <t>Transporte - Visitas técnicas</t>
  </si>
  <si>
    <r>
      <t>Material Saúde Consumo (</t>
    </r>
    <r>
      <rPr>
        <b/>
        <sz val="12"/>
        <color rgb="FF000000"/>
        <rFont val="Calibri"/>
        <family val="2"/>
      </rPr>
      <t>COVID 19</t>
    </r>
    <r>
      <rPr>
        <sz val="12"/>
        <color rgb="FF000000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</si>
</sst>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[$R$ -416]#,##0.00"/>
  </numFmts>
  <fonts count="41" x14ac:knownFonts="1">
    <font>
      <sz val="11"/>
      <color rgb="FF000000"/>
      <name val="Calibri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9900FF"/>
      <name val="Calibri"/>
      <family val="2"/>
    </font>
    <font>
      <b/>
      <sz val="12"/>
      <color rgb="FF0000FF"/>
      <name val="Calibri"/>
      <family val="2"/>
    </font>
    <font>
      <b/>
      <sz val="12"/>
      <color rgb="FF1155CC"/>
      <name val="Calibri"/>
      <family val="2"/>
    </font>
    <font>
      <sz val="12"/>
      <color rgb="FFAD5281"/>
      <name val="Calibri"/>
      <family val="2"/>
    </font>
    <font>
      <b/>
      <sz val="12"/>
      <color rgb="FFAD5281"/>
      <name val="Calibri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A64D79"/>
      <name val="Calibri"/>
      <family val="2"/>
    </font>
    <font>
      <sz val="12"/>
      <color rgb="FF0000FF"/>
      <name val="Calibri"/>
      <family val="2"/>
    </font>
    <font>
      <b/>
      <sz val="12"/>
      <color rgb="FFF1C232"/>
      <name val="Calibri"/>
      <family val="2"/>
    </font>
    <font>
      <sz val="12"/>
      <color rgb="FFFF0000"/>
      <name val="Calibri"/>
      <family val="2"/>
    </font>
    <font>
      <sz val="12"/>
      <color rgb="FF93C47D"/>
      <name val="Calibri"/>
      <family val="2"/>
    </font>
    <font>
      <b/>
      <sz val="12"/>
      <color rgb="FF4A86E8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0000FF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444444"/>
      <name val="Calibri"/>
      <family val="2"/>
    </font>
    <font>
      <sz val="11"/>
      <color rgb="FF000000"/>
      <name val="Calibri"/>
      <family val="2"/>
    </font>
    <font>
      <b/>
      <sz val="12"/>
      <color rgb="FF0070C0"/>
      <name val="Calibri"/>
      <family val="2"/>
    </font>
    <font>
      <sz val="12"/>
      <color rgb="FFA64D79"/>
      <name val="Calibri"/>
      <family val="2"/>
    </font>
    <font>
      <sz val="10"/>
      <color rgb="FF000000"/>
      <name val="Arial"/>
      <family val="2"/>
    </font>
    <font>
      <b/>
      <sz val="12"/>
      <color rgb="FF7030A0"/>
      <name val="Calibri"/>
      <family val="2"/>
    </font>
    <font>
      <b/>
      <sz val="12"/>
      <color rgb="FF00B050"/>
      <name val="Calibri"/>
      <family val="2"/>
    </font>
    <font>
      <sz val="12"/>
      <color rgb="FF7030A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5A6BD"/>
        <bgColor rgb="FFD5A6BD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rgb="FF89C765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4.9989318521683403E-2"/>
        <bgColor rgb="FFFFFFFF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89C76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0">
    <xf numFmtId="0" fontId="0" fillId="0" borderId="0"/>
    <xf numFmtId="0" fontId="23" fillId="0" borderId="1"/>
    <xf numFmtId="0" fontId="31" fillId="0" borderId="1"/>
    <xf numFmtId="0" fontId="25" fillId="0" borderId="1"/>
    <xf numFmtId="43" fontId="31" fillId="0" borderId="1" applyFont="0" applyFill="0" applyBorder="0" applyAlignment="0" applyProtection="0"/>
    <xf numFmtId="0" fontId="25" fillId="0" borderId="1"/>
    <xf numFmtId="0" fontId="32" fillId="0" borderId="1"/>
    <xf numFmtId="44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7" fillId="0" borderId="1"/>
  </cellStyleXfs>
  <cellXfs count="190">
    <xf numFmtId="0" fontId="0" fillId="0" borderId="0" xfId="0" applyFont="1" applyAlignme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vertical="center"/>
    </xf>
    <xf numFmtId="10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10" fontId="4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14" fillId="7" borderId="0" xfId="0" applyNumberFormat="1" applyFont="1" applyFill="1" applyAlignment="1">
      <alignment horizontal="center"/>
    </xf>
    <xf numFmtId="10" fontId="4" fillId="0" borderId="0" xfId="0" applyNumberFormat="1" applyFont="1" applyAlignment="1">
      <alignment horizontal="center" vertical="center"/>
    </xf>
    <xf numFmtId="10" fontId="16" fillId="0" borderId="0" xfId="0" applyNumberFormat="1" applyFont="1" applyAlignment="1">
      <alignment horizontal="center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0" fillId="0" borderId="0" xfId="0" applyFont="1"/>
    <xf numFmtId="10" fontId="22" fillId="0" borderId="0" xfId="0" applyNumberFormat="1" applyFont="1"/>
    <xf numFmtId="0" fontId="0" fillId="0" borderId="0" xfId="0" applyFont="1" applyAlignment="1"/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4" fontId="5" fillId="0" borderId="0" xfId="7" applyFont="1" applyAlignment="1">
      <alignment vertical="center"/>
    </xf>
    <xf numFmtId="44" fontId="7" fillId="0" borderId="0" xfId="7" applyFont="1" applyAlignment="1">
      <alignment horizontal="center"/>
    </xf>
    <xf numFmtId="44" fontId="6" fillId="0" borderId="0" xfId="7" applyFont="1" applyAlignment="1">
      <alignment horizontal="center"/>
    </xf>
    <xf numFmtId="44" fontId="6" fillId="0" borderId="0" xfId="7" applyFont="1" applyAlignment="1">
      <alignment vertical="center"/>
    </xf>
    <xf numFmtId="44" fontId="4" fillId="0" borderId="0" xfId="7" applyFont="1" applyAlignment="1">
      <alignment horizontal="center"/>
    </xf>
    <xf numFmtId="44" fontId="14" fillId="7" borderId="0" xfId="7" applyFont="1" applyFill="1" applyAlignment="1">
      <alignment horizontal="center"/>
    </xf>
    <xf numFmtId="44" fontId="4" fillId="0" borderId="0" xfId="7" applyFont="1" applyAlignment="1">
      <alignment horizontal="center" vertical="center"/>
    </xf>
    <xf numFmtId="44" fontId="16" fillId="0" borderId="0" xfId="7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/>
    </xf>
    <xf numFmtId="164" fontId="4" fillId="16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44" fontId="4" fillId="16" borderId="2" xfId="7" applyFont="1" applyFill="1" applyBorder="1" applyAlignment="1">
      <alignment horizontal="center" vertical="center"/>
    </xf>
    <xf numFmtId="44" fontId="4" fillId="5" borderId="2" xfId="7" applyFont="1" applyFill="1" applyBorder="1" applyAlignment="1">
      <alignment horizontal="center" vertical="center"/>
    </xf>
    <xf numFmtId="44" fontId="4" fillId="4" borderId="2" xfId="7" applyFont="1" applyFill="1" applyBorder="1" applyAlignment="1">
      <alignment horizontal="center" vertical="center"/>
    </xf>
    <xf numFmtId="44" fontId="4" fillId="0" borderId="2" xfId="7" applyFont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44" fontId="4" fillId="6" borderId="2" xfId="7" applyFont="1" applyFill="1" applyBorder="1" applyAlignment="1">
      <alignment horizontal="center" vertical="center"/>
    </xf>
    <xf numFmtId="10" fontId="4" fillId="6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left" vertical="center" wrapText="1"/>
    </xf>
    <xf numFmtId="0" fontId="24" fillId="18" borderId="2" xfId="1" applyFont="1" applyFill="1" applyBorder="1" applyAlignment="1">
      <alignment vertical="center" wrapText="1"/>
    </xf>
    <xf numFmtId="10" fontId="7" fillId="4" borderId="2" xfId="0" applyNumberFormat="1" applyFont="1" applyFill="1" applyBorder="1" applyAlignment="1">
      <alignment horizontal="center" vertical="center" wrapText="1"/>
    </xf>
    <xf numFmtId="44" fontId="7" fillId="0" borderId="2" xfId="7" applyFont="1" applyBorder="1" applyAlignment="1">
      <alignment horizontal="center" vertical="center"/>
    </xf>
    <xf numFmtId="44" fontId="7" fillId="2" borderId="2" xfId="7" applyFont="1" applyFill="1" applyBorder="1" applyAlignment="1">
      <alignment horizontal="center" vertical="center"/>
    </xf>
    <xf numFmtId="44" fontId="7" fillId="4" borderId="2" xfId="7" applyFont="1" applyFill="1" applyBorder="1" applyAlignment="1">
      <alignment horizontal="center" vertical="center"/>
    </xf>
    <xf numFmtId="9" fontId="7" fillId="4" borderId="2" xfId="8" applyFont="1" applyFill="1" applyBorder="1" applyAlignment="1">
      <alignment horizontal="center" vertical="center"/>
    </xf>
    <xf numFmtId="10" fontId="7" fillId="4" borderId="2" xfId="0" applyNumberFormat="1" applyFont="1" applyFill="1" applyBorder="1" applyAlignment="1">
      <alignment horizontal="center" vertical="center"/>
    </xf>
    <xf numFmtId="3" fontId="24" fillId="18" borderId="2" xfId="1" applyNumberFormat="1" applyFont="1" applyFill="1" applyBorder="1" applyAlignment="1">
      <alignment horizontal="left" vertical="center" wrapText="1"/>
    </xf>
    <xf numFmtId="164" fontId="6" fillId="6" borderId="2" xfId="0" applyNumberFormat="1" applyFont="1" applyFill="1" applyBorder="1" applyAlignment="1">
      <alignment horizontal="left" vertical="center"/>
    </xf>
    <xf numFmtId="164" fontId="6" fillId="6" borderId="2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/>
    </xf>
    <xf numFmtId="3" fontId="7" fillId="18" borderId="2" xfId="1" applyNumberFormat="1" applyFont="1" applyFill="1" applyBorder="1" applyAlignment="1">
      <alignment horizontal="left" vertical="center" wrapText="1"/>
    </xf>
    <xf numFmtId="0" fontId="8" fillId="18" borderId="2" xfId="1" applyFont="1" applyFill="1" applyBorder="1" applyAlignment="1">
      <alignment horizontal="left" vertical="center" wrapText="1"/>
    </xf>
    <xf numFmtId="44" fontId="24" fillId="0" borderId="2" xfId="7" applyFont="1" applyBorder="1" applyAlignment="1">
      <alignment horizontal="center" vertical="center"/>
    </xf>
    <xf numFmtId="44" fontId="24" fillId="0" borderId="2" xfId="7" applyFont="1" applyBorder="1" applyAlignment="1">
      <alignment horizontal="right" vertical="center"/>
    </xf>
    <xf numFmtId="44" fontId="9" fillId="0" borderId="2" xfId="7" applyFont="1" applyFill="1" applyBorder="1" applyAlignment="1">
      <alignment horizontal="center" vertical="center"/>
    </xf>
    <xf numFmtId="44" fontId="26" fillId="0" borderId="2" xfId="7" applyFont="1" applyBorder="1" applyAlignment="1">
      <alignment horizontal="center" vertical="center"/>
    </xf>
    <xf numFmtId="0" fontId="8" fillId="18" borderId="2" xfId="1" applyFont="1" applyFill="1" applyBorder="1" applyAlignment="1">
      <alignment vertical="center" wrapText="1"/>
    </xf>
    <xf numFmtId="44" fontId="33" fillId="10" borderId="2" xfId="7" applyFont="1" applyFill="1" applyBorder="1" applyAlignment="1"/>
    <xf numFmtId="44" fontId="0" fillId="0" borderId="2" xfId="7" applyFont="1" applyBorder="1" applyAlignment="1"/>
    <xf numFmtId="0" fontId="7" fillId="18" borderId="2" xfId="1" applyFont="1" applyFill="1" applyBorder="1" applyAlignment="1">
      <alignment vertical="center" wrapText="1"/>
    </xf>
    <xf numFmtId="44" fontId="0" fillId="11" borderId="2" xfId="7" applyFont="1" applyFill="1" applyBorder="1" applyAlignment="1"/>
    <xf numFmtId="44" fontId="7" fillId="11" borderId="2" xfId="7" applyFont="1" applyFill="1" applyBorder="1" applyAlignment="1">
      <alignment horizontal="center" vertical="center"/>
    </xf>
    <xf numFmtId="44" fontId="7" fillId="10" borderId="2" xfId="7" applyFont="1" applyFill="1" applyBorder="1" applyAlignment="1">
      <alignment horizontal="center" vertical="center"/>
    </xf>
    <xf numFmtId="44" fontId="8" fillId="0" borderId="2" xfId="7" applyFont="1" applyBorder="1" applyAlignment="1">
      <alignment horizontal="center" vertical="center"/>
    </xf>
    <xf numFmtId="44" fontId="7" fillId="7" borderId="2" xfId="7" applyFont="1" applyFill="1" applyBorder="1" applyAlignment="1">
      <alignment horizontal="center" vertical="center"/>
    </xf>
    <xf numFmtId="44" fontId="26" fillId="0" borderId="2" xfId="7" applyFont="1" applyFill="1" applyBorder="1" applyAlignment="1">
      <alignment horizontal="center" vertical="center"/>
    </xf>
    <xf numFmtId="0" fontId="26" fillId="18" borderId="2" xfId="1" applyFont="1" applyFill="1" applyBorder="1" applyAlignment="1">
      <alignment vertical="center" wrapText="1"/>
    </xf>
    <xf numFmtId="44" fontId="24" fillId="0" borderId="2" xfId="7" applyFont="1" applyFill="1" applyBorder="1" applyAlignment="1">
      <alignment horizontal="center" vertical="center" wrapText="1"/>
    </xf>
    <xf numFmtId="44" fontId="24" fillId="0" borderId="2" xfId="7" applyFont="1" applyFill="1" applyBorder="1" applyAlignment="1">
      <alignment horizontal="center" vertical="center"/>
    </xf>
    <xf numFmtId="44" fontId="24" fillId="2" borderId="2" xfId="7" applyFont="1" applyFill="1" applyBorder="1" applyAlignment="1">
      <alignment horizontal="right" vertical="center"/>
    </xf>
    <xf numFmtId="0" fontId="7" fillId="15" borderId="2" xfId="1" applyFont="1" applyFill="1" applyBorder="1" applyAlignment="1">
      <alignment horizontal="left" vertical="center" wrapText="1"/>
    </xf>
    <xf numFmtId="0" fontId="7" fillId="15" borderId="2" xfId="1" applyFont="1" applyFill="1" applyBorder="1" applyAlignment="1">
      <alignment vertical="center" wrapText="1"/>
    </xf>
    <xf numFmtId="0" fontId="24" fillId="15" borderId="2" xfId="1" applyFont="1" applyFill="1" applyBorder="1" applyAlignment="1">
      <alignment vertical="center" wrapText="1"/>
    </xf>
    <xf numFmtId="0" fontId="7" fillId="15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center" wrapText="1"/>
    </xf>
    <xf numFmtId="44" fontId="4" fillId="8" borderId="2" xfId="7" applyFont="1" applyFill="1" applyBorder="1" applyAlignment="1">
      <alignment horizontal="center" vertical="center" wrapText="1"/>
    </xf>
    <xf numFmtId="10" fontId="4" fillId="8" borderId="2" xfId="0" applyNumberFormat="1" applyFont="1" applyFill="1" applyBorder="1" applyAlignment="1">
      <alignment horizontal="center" vertical="center"/>
    </xf>
    <xf numFmtId="44" fontId="9" fillId="0" borderId="2" xfId="7" applyFont="1" applyBorder="1" applyAlignment="1">
      <alignment horizontal="center" vertical="center"/>
    </xf>
    <xf numFmtId="0" fontId="13" fillId="12" borderId="2" xfId="0" applyFont="1" applyFill="1" applyBorder="1" applyAlignment="1">
      <alignment horizontal="left" vertical="center" wrapText="1"/>
    </xf>
    <xf numFmtId="0" fontId="13" fillId="12" borderId="2" xfId="0" applyFont="1" applyFill="1" applyBorder="1" applyAlignment="1">
      <alignment vertical="center" wrapText="1"/>
    </xf>
    <xf numFmtId="44" fontId="13" fillId="12" borderId="2" xfId="7" applyFont="1" applyFill="1" applyBorder="1" applyAlignment="1">
      <alignment horizontal="center" vertical="center" wrapText="1"/>
    </xf>
    <xf numFmtId="44" fontId="12" fillId="12" borderId="2" xfId="7" applyFont="1" applyFill="1" applyBorder="1" applyAlignment="1">
      <alignment vertical="center" wrapText="1"/>
    </xf>
    <xf numFmtId="44" fontId="12" fillId="12" borderId="2" xfId="7" applyFont="1" applyFill="1" applyBorder="1" applyAlignment="1">
      <alignment horizontal="center" vertical="center"/>
    </xf>
    <xf numFmtId="44" fontId="12" fillId="4" borderId="2" xfId="7" applyFont="1" applyFill="1" applyBorder="1" applyAlignment="1">
      <alignment horizontal="center" vertical="center"/>
    </xf>
    <xf numFmtId="10" fontId="13" fillId="4" borderId="2" xfId="0" applyNumberFormat="1" applyFont="1" applyFill="1" applyBorder="1" applyAlignment="1">
      <alignment horizontal="center" vertical="center" wrapText="1"/>
    </xf>
    <xf numFmtId="44" fontId="13" fillId="7" borderId="2" xfId="7" applyFont="1" applyFill="1" applyBorder="1" applyAlignment="1">
      <alignment horizontal="center" vertical="center" wrapText="1"/>
    </xf>
    <xf numFmtId="44" fontId="10" fillId="12" borderId="2" xfId="7" applyFont="1" applyFill="1" applyBorder="1" applyAlignment="1">
      <alignment horizontal="center" vertical="center" wrapText="1"/>
    </xf>
    <xf numFmtId="44" fontId="10" fillId="7" borderId="2" xfId="7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left" vertical="center" wrapText="1"/>
    </xf>
    <xf numFmtId="0" fontId="4" fillId="19" borderId="2" xfId="0" applyFont="1" applyFill="1" applyBorder="1" applyAlignment="1">
      <alignment vertical="center" wrapText="1"/>
    </xf>
    <xf numFmtId="44" fontId="4" fillId="7" borderId="2" xfId="7" applyFont="1" applyFill="1" applyBorder="1" applyAlignment="1">
      <alignment horizontal="center" vertical="center"/>
    </xf>
    <xf numFmtId="44" fontId="15" fillId="7" borderId="2" xfId="7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vertical="center" wrapText="1"/>
    </xf>
    <xf numFmtId="44" fontId="13" fillId="8" borderId="2" xfId="7" applyFont="1" applyFill="1" applyBorder="1" applyAlignment="1">
      <alignment horizontal="center" vertical="center" wrapText="1"/>
    </xf>
    <xf numFmtId="10" fontId="16" fillId="3" borderId="2" xfId="0" applyNumberFormat="1" applyFont="1" applyFill="1" applyBorder="1" applyAlignment="1">
      <alignment horizontal="center" vertical="center" wrapText="1"/>
    </xf>
    <xf numFmtId="10" fontId="13" fillId="8" borderId="2" xfId="0" applyNumberFormat="1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left" vertical="center" wrapText="1"/>
    </xf>
    <xf numFmtId="0" fontId="7" fillId="13" borderId="2" xfId="0" applyFont="1" applyFill="1" applyBorder="1" applyAlignment="1">
      <alignment vertical="center" wrapText="1"/>
    </xf>
    <xf numFmtId="44" fontId="7" fillId="14" borderId="2" xfId="7" applyFont="1" applyFill="1" applyBorder="1" applyAlignment="1">
      <alignment horizontal="center" vertical="center"/>
    </xf>
    <xf numFmtId="44" fontId="7" fillId="13" borderId="2" xfId="7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vertical="center" wrapText="1"/>
    </xf>
    <xf numFmtId="44" fontId="4" fillId="2" borderId="2" xfId="7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10" fontId="4" fillId="8" borderId="2" xfId="0" applyNumberFormat="1" applyFont="1" applyFill="1" applyBorder="1" applyAlignment="1">
      <alignment horizontal="center" vertical="center" wrapText="1"/>
    </xf>
    <xf numFmtId="44" fontId="7" fillId="0" borderId="2" xfId="7" applyFont="1" applyBorder="1" applyAlignment="1">
      <alignment horizontal="center" vertical="center" wrapText="1"/>
    </xf>
    <xf numFmtId="0" fontId="4" fillId="18" borderId="2" xfId="1" applyFont="1" applyFill="1" applyBorder="1" applyAlignment="1">
      <alignment vertical="center" wrapText="1"/>
    </xf>
    <xf numFmtId="164" fontId="7" fillId="4" borderId="2" xfId="7" applyNumberFormat="1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vertical="center" wrapText="1"/>
    </xf>
    <xf numFmtId="44" fontId="10" fillId="0" borderId="2" xfId="7" applyFont="1" applyBorder="1" applyAlignment="1">
      <alignment horizontal="center" vertical="center"/>
    </xf>
    <xf numFmtId="0" fontId="17" fillId="15" borderId="2" xfId="0" applyFont="1" applyFill="1" applyBorder="1" applyAlignment="1">
      <alignment vertical="center" wrapText="1"/>
    </xf>
    <xf numFmtId="44" fontId="28" fillId="0" borderId="2" xfId="7" applyFont="1" applyBorder="1" applyAlignment="1">
      <alignment horizontal="right" vertical="center"/>
    </xf>
    <xf numFmtId="44" fontId="17" fillId="0" borderId="2" xfId="7" applyFont="1" applyBorder="1" applyAlignment="1">
      <alignment horizontal="center" vertical="center"/>
    </xf>
    <xf numFmtId="44" fontId="17" fillId="2" borderId="2" xfId="7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vertical="center" wrapText="1"/>
    </xf>
    <xf numFmtId="44" fontId="18" fillId="0" borderId="2" xfId="7" applyFont="1" applyBorder="1" applyAlignment="1">
      <alignment horizontal="center" vertical="center"/>
    </xf>
    <xf numFmtId="44" fontId="19" fillId="0" borderId="2" xfId="7" applyFont="1" applyBorder="1" applyAlignment="1">
      <alignment horizontal="center" vertical="center"/>
    </xf>
    <xf numFmtId="0" fontId="13" fillId="8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center" wrapText="1"/>
    </xf>
    <xf numFmtId="44" fontId="16" fillId="3" borderId="2" xfId="7" applyFont="1" applyFill="1" applyBorder="1" applyAlignment="1">
      <alignment horizontal="center" vertical="center" wrapText="1"/>
    </xf>
    <xf numFmtId="44" fontId="16" fillId="4" borderId="2" xfId="7" applyFont="1" applyFill="1" applyBorder="1" applyAlignment="1">
      <alignment horizontal="center" vertical="center"/>
    </xf>
    <xf numFmtId="44" fontId="7" fillId="9" borderId="2" xfId="7" applyFont="1" applyFill="1" applyBorder="1" applyAlignment="1">
      <alignment horizontal="center" vertical="center"/>
    </xf>
    <xf numFmtId="0" fontId="24" fillId="19" borderId="2" xfId="1" applyFont="1" applyFill="1" applyBorder="1" applyAlignment="1">
      <alignment horizontal="left" vertical="center" wrapText="1"/>
    </xf>
    <xf numFmtId="44" fontId="16" fillId="5" borderId="2" xfId="7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44" fontId="16" fillId="4" borderId="2" xfId="7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vertical="center" wrapText="1"/>
    </xf>
    <xf numFmtId="44" fontId="16" fillId="8" borderId="2" xfId="7" applyFont="1" applyFill="1" applyBorder="1" applyAlignment="1">
      <alignment horizontal="center" vertical="center" wrapText="1"/>
    </xf>
    <xf numFmtId="10" fontId="16" fillId="8" borderId="2" xfId="0" applyNumberFormat="1" applyFont="1" applyFill="1" applyBorder="1" applyAlignment="1">
      <alignment horizontal="center" vertical="center" wrapText="1"/>
    </xf>
    <xf numFmtId="44" fontId="20" fillId="0" borderId="2" xfId="7" applyFont="1" applyBorder="1" applyAlignment="1">
      <alignment horizontal="center" vertical="center"/>
    </xf>
    <xf numFmtId="0" fontId="13" fillId="5" borderId="2" xfId="0" applyFont="1" applyFill="1" applyBorder="1" applyAlignment="1">
      <alignment vertical="center" wrapText="1"/>
    </xf>
    <xf numFmtId="44" fontId="13" fillId="5" borderId="2" xfId="7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10" fontId="16" fillId="3" borderId="2" xfId="0" applyNumberFormat="1" applyFont="1" applyFill="1" applyBorder="1" applyAlignment="1">
      <alignment horizontal="center" vertical="center"/>
    </xf>
    <xf numFmtId="44" fontId="21" fillId="0" borderId="2" xfId="7" applyFont="1" applyBorder="1" applyAlignment="1">
      <alignment horizontal="center" vertical="center"/>
    </xf>
    <xf numFmtId="44" fontId="11" fillId="0" borderId="2" xfId="7" applyFont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44" fontId="16" fillId="5" borderId="2" xfId="7" applyFont="1" applyFill="1" applyBorder="1" applyAlignment="1">
      <alignment horizontal="center" vertical="center" wrapText="1"/>
    </xf>
    <xf numFmtId="10" fontId="16" fillId="5" borderId="2" xfId="0" applyNumberFormat="1" applyFont="1" applyFill="1" applyBorder="1" applyAlignment="1">
      <alignment horizontal="center" vertical="center"/>
    </xf>
    <xf numFmtId="164" fontId="4" fillId="21" borderId="2" xfId="0" applyNumberFormat="1" applyFont="1" applyFill="1" applyBorder="1" applyAlignment="1">
      <alignment horizontal="center" vertical="center"/>
    </xf>
    <xf numFmtId="44" fontId="27" fillId="12" borderId="2" xfId="7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15" borderId="0" xfId="0" applyFont="1" applyFill="1" applyAlignment="1"/>
    <xf numFmtId="0" fontId="26" fillId="12" borderId="2" xfId="0" applyFont="1" applyFill="1" applyBorder="1" applyAlignment="1">
      <alignment horizontal="left" vertical="center" wrapText="1"/>
    </xf>
    <xf numFmtId="0" fontId="35" fillId="18" borderId="2" xfId="1" applyFont="1" applyFill="1" applyBorder="1" applyAlignment="1">
      <alignment vertical="center" wrapText="1"/>
    </xf>
    <xf numFmtId="44" fontId="7" fillId="5" borderId="2" xfId="7" applyFont="1" applyFill="1" applyBorder="1" applyAlignment="1">
      <alignment horizontal="center" vertical="center"/>
    </xf>
    <xf numFmtId="44" fontId="36" fillId="5" borderId="2" xfId="7" applyFont="1" applyFill="1" applyBorder="1" applyAlignment="1">
      <alignment horizontal="center" vertical="center"/>
    </xf>
    <xf numFmtId="44" fontId="36" fillId="4" borderId="2" xfId="7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0" fillId="0" borderId="0" xfId="0" applyFont="1" applyAlignment="1"/>
    <xf numFmtId="44" fontId="12" fillId="7" borderId="2" xfId="7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4" fontId="35" fillId="0" borderId="2" xfId="7" applyFont="1" applyBorder="1" applyAlignment="1">
      <alignment horizontal="center" vertical="center"/>
    </xf>
    <xf numFmtId="0" fontId="0" fillId="0" borderId="0" xfId="0" applyFont="1" applyAlignment="1"/>
    <xf numFmtId="44" fontId="39" fillId="0" borderId="2" xfId="7" applyFont="1" applyBorder="1" applyAlignment="1">
      <alignment horizontal="center" vertical="center"/>
    </xf>
    <xf numFmtId="44" fontId="39" fillId="15" borderId="2" xfId="7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vertical="center" wrapText="1"/>
    </xf>
    <xf numFmtId="44" fontId="38" fillId="0" borderId="2" xfId="7" applyFont="1" applyBorder="1" applyAlignment="1">
      <alignment horizontal="center" vertical="center"/>
    </xf>
    <xf numFmtId="0" fontId="7" fillId="19" borderId="2" xfId="1" applyFont="1" applyFill="1" applyBorder="1" applyAlignment="1">
      <alignment horizontal="left" vertical="center" wrapText="1"/>
    </xf>
    <xf numFmtId="0" fontId="1" fillId="15" borderId="2" xfId="1" applyFont="1" applyFill="1" applyBorder="1" applyAlignment="1"/>
    <xf numFmtId="44" fontId="7" fillId="0" borderId="2" xfId="7" applyFont="1" applyFill="1" applyBorder="1" applyAlignment="1">
      <alignment horizontal="center" vertical="center"/>
    </xf>
    <xf numFmtId="44" fontId="35" fillId="0" borderId="2" xfId="7" applyFont="1" applyFill="1" applyBorder="1" applyAlignment="1">
      <alignment horizontal="center" vertical="center"/>
    </xf>
    <xf numFmtId="44" fontId="38" fillId="0" borderId="2" xfId="7" applyFont="1" applyFill="1" applyBorder="1" applyAlignment="1">
      <alignment horizontal="center" vertical="center"/>
    </xf>
    <xf numFmtId="0" fontId="0" fillId="0" borderId="0" xfId="0" applyFont="1" applyAlignment="1"/>
    <xf numFmtId="164" fontId="4" fillId="21" borderId="2" xfId="0" applyNumberFormat="1" applyFont="1" applyFill="1" applyBorder="1" applyAlignment="1">
      <alignment horizontal="center" vertical="center"/>
    </xf>
    <xf numFmtId="0" fontId="3" fillId="20" borderId="2" xfId="0" applyFont="1" applyFill="1" applyBorder="1"/>
    <xf numFmtId="0" fontId="3" fillId="0" borderId="2" xfId="0" applyFont="1" applyBorder="1"/>
    <xf numFmtId="164" fontId="4" fillId="16" borderId="2" xfId="0" applyNumberFormat="1" applyFont="1" applyFill="1" applyBorder="1" applyAlignment="1">
      <alignment horizontal="center" vertical="center"/>
    </xf>
    <xf numFmtId="0" fontId="3" fillId="17" borderId="2" xfId="0" applyFont="1" applyFill="1" applyBorder="1"/>
    <xf numFmtId="164" fontId="4" fillId="5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</cellXfs>
  <cellStyles count="10">
    <cellStyle name="Moeda" xfId="7" builtinId="4"/>
    <cellStyle name="Normal" xfId="0" builtinId="0"/>
    <cellStyle name="Normal 2" xfId="1"/>
    <cellStyle name="Normal 2 2" xfId="5"/>
    <cellStyle name="Normal 3" xfId="2"/>
    <cellStyle name="Normal 4" xfId="3"/>
    <cellStyle name="Normal 5" xfId="6"/>
    <cellStyle name="Normal 6" xfId="9"/>
    <cellStyle name="Porcentagem" xfId="8" builtinId="5"/>
    <cellStyle name="Vírgula 2" xfId="4"/>
  </cellStyles>
  <dxfs count="1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740"/>
  <sheetViews>
    <sheetView showGridLines="0" tabSelected="1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E14" sqref="E14"/>
    </sheetView>
  </sheetViews>
  <sheetFormatPr defaultColWidth="14.42578125" defaultRowHeight="15" customHeight="1" x14ac:dyDescent="0.25"/>
  <cols>
    <col min="1" max="1" width="14.85546875" style="19" customWidth="1"/>
    <col min="2" max="2" width="66.140625" customWidth="1"/>
    <col min="3" max="3" width="19.7109375" customWidth="1"/>
    <col min="4" max="4" width="17.5703125" customWidth="1"/>
    <col min="5" max="5" width="15" style="21" customWidth="1"/>
    <col min="6" max="6" width="18.28515625" customWidth="1"/>
    <col min="7" max="7" width="17.42578125" customWidth="1"/>
    <col min="8" max="8" width="18.42578125" customWidth="1"/>
    <col min="9" max="9" width="16.7109375" customWidth="1"/>
    <col min="10" max="10" width="18.42578125" customWidth="1"/>
    <col min="11" max="11" width="19.140625" customWidth="1"/>
    <col min="12" max="12" width="18.28515625" customWidth="1"/>
    <col min="13" max="13" width="23.5703125" hidden="1" customWidth="1"/>
    <col min="14" max="14" width="18.140625" hidden="1" customWidth="1"/>
    <col min="15" max="15" width="16.7109375" hidden="1" customWidth="1"/>
    <col min="16" max="16" width="12.28515625" hidden="1" customWidth="1"/>
    <col min="17" max="17" width="11.42578125" hidden="1" customWidth="1"/>
    <col min="18" max="18" width="12.140625" hidden="1" customWidth="1"/>
    <col min="19" max="19" width="16" hidden="1" customWidth="1"/>
    <col min="20" max="23" width="15.7109375" hidden="1" customWidth="1"/>
    <col min="24" max="24" width="16.85546875" hidden="1" customWidth="1"/>
    <col min="25" max="26" width="15.7109375" hidden="1" customWidth="1"/>
    <col min="27" max="27" width="16.42578125" hidden="1" customWidth="1"/>
    <col min="28" max="29" width="15.7109375" hidden="1" customWidth="1"/>
    <col min="30" max="30" width="17.7109375" hidden="1" customWidth="1"/>
    <col min="31" max="32" width="15.7109375" hidden="1" customWidth="1"/>
    <col min="33" max="33" width="14.7109375" hidden="1" customWidth="1"/>
    <col min="34" max="54" width="15.7109375" hidden="1" customWidth="1"/>
    <col min="55" max="55" width="17.85546875" hidden="1" customWidth="1"/>
    <col min="56" max="56" width="10.5703125" hidden="1" customWidth="1"/>
    <col min="57" max="57" width="9.85546875" hidden="1" customWidth="1"/>
    <col min="58" max="58" width="14.42578125" customWidth="1"/>
  </cols>
  <sheetData>
    <row r="1" spans="1:62" ht="18.75" x14ac:dyDescent="0.25">
      <c r="A1" s="185" t="s">
        <v>202</v>
      </c>
      <c r="B1" s="186"/>
      <c r="C1" s="181" t="s">
        <v>0</v>
      </c>
      <c r="D1" s="182"/>
      <c r="E1" s="182"/>
      <c r="F1" s="182"/>
      <c r="G1" s="183" t="s">
        <v>1</v>
      </c>
      <c r="H1" s="180"/>
      <c r="I1" s="180"/>
      <c r="J1" s="187" t="s">
        <v>2</v>
      </c>
      <c r="K1" s="188"/>
      <c r="L1" s="189"/>
      <c r="M1" s="183" t="s">
        <v>3</v>
      </c>
      <c r="N1" s="180"/>
      <c r="O1" s="180"/>
      <c r="P1" s="184" t="s">
        <v>4</v>
      </c>
      <c r="Q1" s="180"/>
      <c r="R1" s="180"/>
      <c r="S1" s="178" t="s">
        <v>5</v>
      </c>
      <c r="T1" s="179"/>
      <c r="U1" s="179"/>
      <c r="V1" s="178" t="s">
        <v>6</v>
      </c>
      <c r="W1" s="179"/>
      <c r="X1" s="179"/>
      <c r="Y1" s="178" t="s">
        <v>7</v>
      </c>
      <c r="Z1" s="179"/>
      <c r="AA1" s="179"/>
      <c r="AB1" s="178" t="s">
        <v>8</v>
      </c>
      <c r="AC1" s="179"/>
      <c r="AD1" s="179"/>
      <c r="AE1" s="178" t="s">
        <v>9</v>
      </c>
      <c r="AF1" s="179"/>
      <c r="AG1" s="179"/>
      <c r="AH1" s="178" t="s">
        <v>10</v>
      </c>
      <c r="AI1" s="179"/>
      <c r="AJ1" s="179"/>
      <c r="AK1" s="178" t="s">
        <v>11</v>
      </c>
      <c r="AL1" s="179"/>
      <c r="AM1" s="179"/>
      <c r="AN1" s="178" t="s">
        <v>12</v>
      </c>
      <c r="AO1" s="179"/>
      <c r="AP1" s="179"/>
      <c r="AQ1" s="178" t="s">
        <v>13</v>
      </c>
      <c r="AR1" s="179"/>
      <c r="AS1" s="179"/>
      <c r="AT1" s="178" t="s">
        <v>14</v>
      </c>
      <c r="AU1" s="179"/>
      <c r="AV1" s="179"/>
      <c r="AW1" s="178" t="s">
        <v>15</v>
      </c>
      <c r="AX1" s="179"/>
      <c r="AY1" s="179"/>
      <c r="AZ1" s="178" t="s">
        <v>16</v>
      </c>
      <c r="BA1" s="179"/>
      <c r="BB1" s="179"/>
      <c r="BC1" s="178" t="s">
        <v>17</v>
      </c>
      <c r="BD1" s="179"/>
      <c r="BE1" s="179"/>
      <c r="BF1" s="1"/>
      <c r="BG1" s="1"/>
      <c r="BH1" s="1"/>
      <c r="BI1" s="1"/>
      <c r="BJ1" s="1"/>
    </row>
    <row r="2" spans="1:62" ht="45.75" customHeight="1" x14ac:dyDescent="0.25">
      <c r="A2" s="161" t="s">
        <v>18</v>
      </c>
      <c r="B2" s="32" t="s">
        <v>19</v>
      </c>
      <c r="C2" s="34" t="s">
        <v>21</v>
      </c>
      <c r="D2" s="34" t="s">
        <v>22</v>
      </c>
      <c r="E2" s="34" t="s">
        <v>111</v>
      </c>
      <c r="F2" s="34" t="s">
        <v>20</v>
      </c>
      <c r="G2" s="35" t="s">
        <v>21</v>
      </c>
      <c r="H2" s="35" t="s">
        <v>22</v>
      </c>
      <c r="I2" s="35" t="s">
        <v>20</v>
      </c>
      <c r="J2" s="33" t="s">
        <v>21</v>
      </c>
      <c r="K2" s="33" t="s">
        <v>22</v>
      </c>
      <c r="L2" s="33" t="s">
        <v>20</v>
      </c>
      <c r="M2" s="35" t="s">
        <v>23</v>
      </c>
      <c r="N2" s="35" t="s">
        <v>22</v>
      </c>
      <c r="O2" s="35" t="s">
        <v>24</v>
      </c>
      <c r="P2" s="36" t="s">
        <v>25</v>
      </c>
      <c r="Q2" s="37" t="s">
        <v>22</v>
      </c>
      <c r="R2" s="36" t="s">
        <v>26</v>
      </c>
      <c r="S2" s="152" t="s">
        <v>21</v>
      </c>
      <c r="T2" s="152" t="s">
        <v>22</v>
      </c>
      <c r="U2" s="152" t="s">
        <v>20</v>
      </c>
      <c r="V2" s="152" t="s">
        <v>21</v>
      </c>
      <c r="W2" s="152" t="s">
        <v>22</v>
      </c>
      <c r="X2" s="152" t="s">
        <v>20</v>
      </c>
      <c r="Y2" s="152" t="s">
        <v>21</v>
      </c>
      <c r="Z2" s="152" t="s">
        <v>22</v>
      </c>
      <c r="AA2" s="152" t="s">
        <v>20</v>
      </c>
      <c r="AB2" s="152" t="s">
        <v>21</v>
      </c>
      <c r="AC2" s="152" t="s">
        <v>22</v>
      </c>
      <c r="AD2" s="152" t="s">
        <v>20</v>
      </c>
      <c r="AE2" s="152" t="s">
        <v>21</v>
      </c>
      <c r="AF2" s="152" t="s">
        <v>22</v>
      </c>
      <c r="AG2" s="152" t="s">
        <v>20</v>
      </c>
      <c r="AH2" s="152" t="s">
        <v>21</v>
      </c>
      <c r="AI2" s="152" t="s">
        <v>22</v>
      </c>
      <c r="AJ2" s="152" t="s">
        <v>20</v>
      </c>
      <c r="AK2" s="152" t="s">
        <v>21</v>
      </c>
      <c r="AL2" s="152" t="s">
        <v>22</v>
      </c>
      <c r="AM2" s="152" t="s">
        <v>20</v>
      </c>
      <c r="AN2" s="152" t="s">
        <v>21</v>
      </c>
      <c r="AO2" s="152" t="s">
        <v>22</v>
      </c>
      <c r="AP2" s="152" t="s">
        <v>20</v>
      </c>
      <c r="AQ2" s="152" t="s">
        <v>21</v>
      </c>
      <c r="AR2" s="152" t="s">
        <v>22</v>
      </c>
      <c r="AS2" s="152" t="s">
        <v>20</v>
      </c>
      <c r="AT2" s="152" t="s">
        <v>21</v>
      </c>
      <c r="AU2" s="152" t="s">
        <v>22</v>
      </c>
      <c r="AV2" s="152" t="s">
        <v>20</v>
      </c>
      <c r="AW2" s="152" t="s">
        <v>21</v>
      </c>
      <c r="AX2" s="152" t="s">
        <v>22</v>
      </c>
      <c r="AY2" s="152" t="s">
        <v>20</v>
      </c>
      <c r="AZ2" s="152" t="s">
        <v>21</v>
      </c>
      <c r="BA2" s="152" t="s">
        <v>22</v>
      </c>
      <c r="BB2" s="152" t="s">
        <v>20</v>
      </c>
      <c r="BC2" s="152" t="s">
        <v>21</v>
      </c>
      <c r="BD2" s="152" t="s">
        <v>22</v>
      </c>
      <c r="BE2" s="152" t="s">
        <v>20</v>
      </c>
      <c r="BF2" s="1"/>
      <c r="BG2" s="1"/>
      <c r="BH2" s="1"/>
      <c r="BI2" s="1"/>
      <c r="BJ2" s="1"/>
    </row>
    <row r="3" spans="1:62" ht="21" x14ac:dyDescent="0.25">
      <c r="A3" s="39" t="s">
        <v>27</v>
      </c>
      <c r="B3" s="38" t="s">
        <v>28</v>
      </c>
      <c r="C3" s="40">
        <f>C4+C11+C50+C80+C119</f>
        <v>2173371.4500000002</v>
      </c>
      <c r="D3" s="40">
        <f>D4+D11+D50+D80+D119</f>
        <v>2340309.29</v>
      </c>
      <c r="E3" s="40">
        <f>E4+E11+E50+E80+E119</f>
        <v>6706.7800000000007</v>
      </c>
      <c r="F3" s="40">
        <f>F4+F11+F50+F80+F119</f>
        <v>1738863.8599999999</v>
      </c>
      <c r="G3" s="41">
        <f>G4+G11+G50+G80+G119</f>
        <v>978472.07</v>
      </c>
      <c r="H3" s="41">
        <f>H4+H11+H50+H80+H119</f>
        <v>2249803.8400000003</v>
      </c>
      <c r="I3" s="41">
        <f>I4+I11+I50+I80+I119</f>
        <v>517771.51</v>
      </c>
      <c r="J3" s="42">
        <f t="shared" ref="J3:L10" si="0">IF(BC3=0,SUM(S3+V3+Y3+AB3+AE3+AH3+AK3+AN3+AQ3+AT3+AW3+AZ3),BC3)</f>
        <v>978472.07</v>
      </c>
      <c r="K3" s="42">
        <f t="shared" si="0"/>
        <v>2249803.8400000003</v>
      </c>
      <c r="L3" s="33">
        <f t="shared" si="0"/>
        <v>517771.50999999995</v>
      </c>
      <c r="M3" s="35">
        <f>M4+M11+M50+M80+M119</f>
        <v>1173899.3799999997</v>
      </c>
      <c r="N3" s="35">
        <f>N4+N11+N50+N80+N119</f>
        <v>83798.670000000042</v>
      </c>
      <c r="O3" s="35">
        <f>O4+O11+O50+O80+O119</f>
        <v>1221092.3499999999</v>
      </c>
      <c r="P3" s="37">
        <f t="shared" ref="P3:Q10" si="1">G3/C3</f>
        <v>0.45020931419707377</v>
      </c>
      <c r="Q3" s="37">
        <f t="shared" si="1"/>
        <v>0.96132756880181436</v>
      </c>
      <c r="R3" s="37">
        <f t="shared" ref="R3:R10" si="2">I3/F3</f>
        <v>0.29776425970460968</v>
      </c>
      <c r="S3" s="43">
        <f>S4+S11+S50+S80+S119</f>
        <v>27.08</v>
      </c>
      <c r="T3" s="43">
        <f>T4+T11+T50+T80+T119</f>
        <v>82979.189999999988</v>
      </c>
      <c r="U3" s="43">
        <f>U4+U11+U50+U80+U119</f>
        <v>0</v>
      </c>
      <c r="V3" s="43">
        <f>V4+V11+V50+V80+V119</f>
        <v>3450.05</v>
      </c>
      <c r="W3" s="43">
        <f>W4+W11+W50+W80+W119</f>
        <v>139830.27000000002</v>
      </c>
      <c r="X3" s="43">
        <f>X4+X11+X50+X80+X119</f>
        <v>0</v>
      </c>
      <c r="Y3" s="43">
        <f>Y4+Y11+Y50+Y80+Y119</f>
        <v>57131.609999999993</v>
      </c>
      <c r="Z3" s="43">
        <f>Z4+Z11+Z50+Z80+Z119</f>
        <v>344883.05</v>
      </c>
      <c r="AA3" s="43">
        <f>AA4+AA11+AA50+AA80+AA119</f>
        <v>0</v>
      </c>
      <c r="AB3" s="43">
        <f>AB4+AB11+AB50+AB80+AB119</f>
        <v>54225.499999999993</v>
      </c>
      <c r="AC3" s="43">
        <f>AC4+AC11+AC50+AC80+AC119</f>
        <v>470977.24</v>
      </c>
      <c r="AD3" s="43">
        <f>AD4+AD11+AD50+AD80+AD119</f>
        <v>0</v>
      </c>
      <c r="AE3" s="43">
        <f>AE4+AE11+AE50+AE80+AE119</f>
        <v>111707.36</v>
      </c>
      <c r="AF3" s="43">
        <f>AF4+AF11+AF50+AF80+AF119</f>
        <v>176628.82</v>
      </c>
      <c r="AG3" s="43">
        <f>AG4+AG11+AG50+AG80+AG119</f>
        <v>0</v>
      </c>
      <c r="AH3" s="43">
        <f>AH4+AH11+AH50+AH80+AH119</f>
        <v>101381.18999999999</v>
      </c>
      <c r="AI3" s="43">
        <f>AI4+AI11+AI50+AI80+AI119</f>
        <v>303142.09000000003</v>
      </c>
      <c r="AJ3" s="43">
        <f>AJ4+AJ11+AJ50+AJ80+AJ119</f>
        <v>0</v>
      </c>
      <c r="AK3" s="43">
        <f>AK4+AK11+AK50+AK80+AK119</f>
        <v>84319.670000000013</v>
      </c>
      <c r="AL3" s="43">
        <f>AL4+AL11+AL50+AL80+AL119</f>
        <v>240449.38</v>
      </c>
      <c r="AM3" s="43">
        <f>AM4+AM11+AM50+AM80+AM119</f>
        <v>0</v>
      </c>
      <c r="AN3" s="43">
        <f>AN4+AN11+AN50+AN80+AN119</f>
        <v>85354.409999999989</v>
      </c>
      <c r="AO3" s="43">
        <f>AO4+AO11+AO50+AO80+AO119</f>
        <v>160079.74</v>
      </c>
      <c r="AP3" s="43">
        <f>AP4+AP11+AP50+AP80+AP119</f>
        <v>0</v>
      </c>
      <c r="AQ3" s="43">
        <f>AQ4+AQ11+AQ50+AQ80+AQ119</f>
        <v>104105.57999999999</v>
      </c>
      <c r="AR3" s="43">
        <f>AR4+AR11+AR50+AR80+AR119</f>
        <v>167417.74</v>
      </c>
      <c r="AS3" s="43">
        <f>AS4+AS11+AS50+AS80+AS119</f>
        <v>0</v>
      </c>
      <c r="AT3" s="43">
        <f>AT4+AT11+AT50+AT80+AT119</f>
        <v>80429.549999999974</v>
      </c>
      <c r="AU3" s="43">
        <f>AU4+AU11+AU50+AU80+AU119</f>
        <v>2173.61</v>
      </c>
      <c r="AV3" s="43">
        <f>AV4+AV11+AV50+AV80+AV119</f>
        <v>131748.38</v>
      </c>
      <c r="AW3" s="43">
        <f>AW4+AW11+AW50+AW80+AW119</f>
        <v>85897.05</v>
      </c>
      <c r="AX3" s="43">
        <f>AX4+AX11+AX50+AX80+AX119</f>
        <v>116021.55000000002</v>
      </c>
      <c r="AY3" s="43">
        <f>AY4+AY11+AY50+AY80+AY119</f>
        <v>4577.8</v>
      </c>
      <c r="AZ3" s="43">
        <f>AZ4+AZ11+AZ50+AZ80+AZ119</f>
        <v>210443.02000000005</v>
      </c>
      <c r="BA3" s="43">
        <f>BA4+BA11+BA50+BA80+BA119</f>
        <v>45221.16</v>
      </c>
      <c r="BB3" s="43">
        <f>BB4+BB11+BB50+BB80+BB119</f>
        <v>381445.32999999996</v>
      </c>
      <c r="BC3" s="43">
        <f>BC4+BC11+BC50+BC80+BC119</f>
        <v>0</v>
      </c>
      <c r="BD3" s="43">
        <f>BD4+BD11+BD50+BD80+BD119</f>
        <v>0</v>
      </c>
      <c r="BE3" s="43">
        <f>BE4+BE11+BE50+BE80+BE119</f>
        <v>0</v>
      </c>
      <c r="BF3" s="24"/>
      <c r="BG3" s="2"/>
      <c r="BH3" s="2"/>
      <c r="BI3" s="2"/>
      <c r="BJ3" s="2"/>
    </row>
    <row r="4" spans="1:62" ht="21" x14ac:dyDescent="0.25">
      <c r="A4" s="44" t="s">
        <v>29</v>
      </c>
      <c r="B4" s="44"/>
      <c r="C4" s="45">
        <f>SUM(C5:C10)</f>
        <v>19314.18</v>
      </c>
      <c r="D4" s="45">
        <f t="shared" ref="D4:I4" si="3">SUM(D5:D6)</f>
        <v>0</v>
      </c>
      <c r="E4" s="45"/>
      <c r="F4" s="45">
        <f t="shared" si="3"/>
        <v>0</v>
      </c>
      <c r="G4" s="45">
        <f t="shared" si="3"/>
        <v>1530.93</v>
      </c>
      <c r="H4" s="45">
        <f t="shared" si="3"/>
        <v>0</v>
      </c>
      <c r="I4" s="45">
        <f t="shared" si="3"/>
        <v>0</v>
      </c>
      <c r="J4" s="45">
        <f t="shared" si="0"/>
        <v>1530.9299999999998</v>
      </c>
      <c r="K4" s="45">
        <f t="shared" si="0"/>
        <v>0</v>
      </c>
      <c r="L4" s="45">
        <f t="shared" si="0"/>
        <v>0</v>
      </c>
      <c r="M4" s="45">
        <f>SUM(M5:M10)</f>
        <v>17783.25</v>
      </c>
      <c r="N4" s="45">
        <f>SUM(N5:N6)</f>
        <v>0</v>
      </c>
      <c r="O4" s="45">
        <f>SUM(O5:O6)</f>
        <v>0</v>
      </c>
      <c r="P4" s="45">
        <f t="shared" si="1"/>
        <v>7.9264561063425942E-2</v>
      </c>
      <c r="Q4" s="46" t="e">
        <f t="shared" si="1"/>
        <v>#DIV/0!</v>
      </c>
      <c r="R4" s="46" t="e">
        <f t="shared" si="2"/>
        <v>#DIV/0!</v>
      </c>
      <c r="S4" s="45">
        <f t="shared" ref="S4:BE4" si="4">SUM(S5:S6)</f>
        <v>0</v>
      </c>
      <c r="T4" s="45">
        <f t="shared" si="4"/>
        <v>0</v>
      </c>
      <c r="U4" s="45">
        <f t="shared" si="4"/>
        <v>0</v>
      </c>
      <c r="V4" s="45">
        <f t="shared" si="4"/>
        <v>0</v>
      </c>
      <c r="W4" s="45">
        <f t="shared" si="4"/>
        <v>0</v>
      </c>
      <c r="X4" s="45">
        <f t="shared" si="4"/>
        <v>0</v>
      </c>
      <c r="Y4" s="45">
        <f t="shared" si="4"/>
        <v>0</v>
      </c>
      <c r="Z4" s="45">
        <f t="shared" si="4"/>
        <v>0</v>
      </c>
      <c r="AA4" s="45">
        <f t="shared" si="4"/>
        <v>0</v>
      </c>
      <c r="AB4" s="45">
        <f t="shared" si="4"/>
        <v>0</v>
      </c>
      <c r="AC4" s="45">
        <f t="shared" si="4"/>
        <v>0</v>
      </c>
      <c r="AD4" s="45">
        <f t="shared" si="4"/>
        <v>0</v>
      </c>
      <c r="AE4" s="45">
        <f t="shared" si="4"/>
        <v>0</v>
      </c>
      <c r="AF4" s="45">
        <f t="shared" si="4"/>
        <v>0</v>
      </c>
      <c r="AG4" s="45">
        <f t="shared" si="4"/>
        <v>0</v>
      </c>
      <c r="AH4" s="45">
        <f t="shared" si="4"/>
        <v>344.64</v>
      </c>
      <c r="AI4" s="45">
        <f t="shared" si="4"/>
        <v>0</v>
      </c>
      <c r="AJ4" s="45">
        <f t="shared" si="4"/>
        <v>0</v>
      </c>
      <c r="AK4" s="45">
        <f t="shared" si="4"/>
        <v>0</v>
      </c>
      <c r="AL4" s="45">
        <f t="shared" si="4"/>
        <v>0</v>
      </c>
      <c r="AM4" s="45">
        <f t="shared" si="4"/>
        <v>0</v>
      </c>
      <c r="AN4" s="45">
        <f t="shared" si="4"/>
        <v>0</v>
      </c>
      <c r="AO4" s="45">
        <f t="shared" si="4"/>
        <v>0</v>
      </c>
      <c r="AP4" s="45">
        <f t="shared" si="4"/>
        <v>0</v>
      </c>
      <c r="AQ4" s="45">
        <f t="shared" si="4"/>
        <v>0</v>
      </c>
      <c r="AR4" s="45">
        <f t="shared" si="4"/>
        <v>0</v>
      </c>
      <c r="AS4" s="45">
        <f t="shared" si="4"/>
        <v>0</v>
      </c>
      <c r="AT4" s="45">
        <f t="shared" si="4"/>
        <v>0</v>
      </c>
      <c r="AU4" s="45">
        <f t="shared" si="4"/>
        <v>0</v>
      </c>
      <c r="AV4" s="45">
        <f t="shared" si="4"/>
        <v>0</v>
      </c>
      <c r="AW4" s="45">
        <f t="shared" si="4"/>
        <v>0</v>
      </c>
      <c r="AX4" s="45">
        <f t="shared" si="4"/>
        <v>0</v>
      </c>
      <c r="AY4" s="45">
        <f t="shared" si="4"/>
        <v>0</v>
      </c>
      <c r="AZ4" s="45">
        <f t="shared" si="4"/>
        <v>1186.29</v>
      </c>
      <c r="BA4" s="45">
        <f t="shared" si="4"/>
        <v>0</v>
      </c>
      <c r="BB4" s="45">
        <f t="shared" si="4"/>
        <v>0</v>
      </c>
      <c r="BC4" s="45">
        <f t="shared" si="4"/>
        <v>0</v>
      </c>
      <c r="BD4" s="45">
        <f t="shared" si="4"/>
        <v>0</v>
      </c>
      <c r="BE4" s="45">
        <f t="shared" si="4"/>
        <v>0</v>
      </c>
      <c r="BF4" s="24"/>
      <c r="BG4" s="2"/>
      <c r="BH4" s="2"/>
      <c r="BI4" s="2"/>
      <c r="BJ4" s="2"/>
    </row>
    <row r="5" spans="1:62" ht="15.75" x14ac:dyDescent="0.25">
      <c r="A5" s="47" t="s">
        <v>100</v>
      </c>
      <c r="B5" s="48" t="s">
        <v>74</v>
      </c>
      <c r="C5" s="174">
        <f>1000-189.07</f>
        <v>810.93000000000006</v>
      </c>
      <c r="D5" s="50"/>
      <c r="E5" s="50"/>
      <c r="F5" s="51"/>
      <c r="G5" s="52">
        <f t="shared" ref="G5:I10" si="5">S5+V5+Y5+AB5+AE5+AH5+AK5+AN5+AQ5+AT5+AW5+AZ5</f>
        <v>810.93000000000006</v>
      </c>
      <c r="H5" s="52">
        <f t="shared" si="5"/>
        <v>0</v>
      </c>
      <c r="I5" s="52">
        <f t="shared" si="5"/>
        <v>0</v>
      </c>
      <c r="J5" s="42">
        <f t="shared" si="0"/>
        <v>810.93000000000006</v>
      </c>
      <c r="K5" s="42">
        <f t="shared" si="0"/>
        <v>0</v>
      </c>
      <c r="L5" s="42">
        <f t="shared" si="0"/>
        <v>0</v>
      </c>
      <c r="M5" s="52">
        <f>C5-G5</f>
        <v>0</v>
      </c>
      <c r="N5" s="52">
        <f>D5-H5</f>
        <v>0</v>
      </c>
      <c r="O5" s="52">
        <f t="shared" ref="O5:O10" si="6">F5-I5</f>
        <v>0</v>
      </c>
      <c r="P5" s="53">
        <f t="shared" si="1"/>
        <v>1</v>
      </c>
      <c r="Q5" s="54" t="e">
        <f t="shared" si="1"/>
        <v>#DIV/0!</v>
      </c>
      <c r="R5" s="54" t="e">
        <f t="shared" si="2"/>
        <v>#DIV/0!</v>
      </c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>
        <f>67.68+276.96</f>
        <v>344.64</v>
      </c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>
        <v>466.29</v>
      </c>
      <c r="BA5" s="50"/>
      <c r="BB5" s="50"/>
      <c r="BC5" s="50"/>
      <c r="BD5" s="50"/>
      <c r="BE5" s="50"/>
      <c r="BF5" s="25"/>
      <c r="BG5" s="3"/>
      <c r="BH5" s="3"/>
      <c r="BI5" s="3"/>
      <c r="BJ5" s="3"/>
    </row>
    <row r="6" spans="1:62" ht="15.75" customHeight="1" x14ac:dyDescent="0.25">
      <c r="A6" s="47" t="s">
        <v>101</v>
      </c>
      <c r="B6" s="48" t="s">
        <v>31</v>
      </c>
      <c r="C6" s="51">
        <f>720</f>
        <v>720</v>
      </c>
      <c r="D6" s="50"/>
      <c r="E6" s="50"/>
      <c r="F6" s="51"/>
      <c r="G6" s="52">
        <f t="shared" si="5"/>
        <v>720</v>
      </c>
      <c r="H6" s="52">
        <f t="shared" si="5"/>
        <v>0</v>
      </c>
      <c r="I6" s="52">
        <f t="shared" si="5"/>
        <v>0</v>
      </c>
      <c r="J6" s="42">
        <f t="shared" si="0"/>
        <v>720</v>
      </c>
      <c r="K6" s="42">
        <f t="shared" si="0"/>
        <v>0</v>
      </c>
      <c r="L6" s="42">
        <f t="shared" si="0"/>
        <v>0</v>
      </c>
      <c r="M6" s="52">
        <f>C6-G6</f>
        <v>0</v>
      </c>
      <c r="N6" s="52">
        <f>D6-H6</f>
        <v>0</v>
      </c>
      <c r="O6" s="52">
        <f t="shared" si="6"/>
        <v>0</v>
      </c>
      <c r="P6" s="52">
        <f t="shared" si="1"/>
        <v>1</v>
      </c>
      <c r="Q6" s="54" t="e">
        <f t="shared" si="1"/>
        <v>#DIV/0!</v>
      </c>
      <c r="R6" s="54" t="e">
        <f t="shared" si="2"/>
        <v>#DIV/0!</v>
      </c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>
        <v>720</v>
      </c>
      <c r="BA6" s="50"/>
      <c r="BB6" s="50"/>
      <c r="BC6" s="50"/>
      <c r="BD6" s="50"/>
      <c r="BE6" s="50"/>
      <c r="BF6" s="25"/>
      <c r="BG6" s="3"/>
      <c r="BH6" s="3"/>
      <c r="BI6" s="3"/>
      <c r="BJ6" s="3"/>
    </row>
    <row r="7" spans="1:62" s="17" customFormat="1" ht="15.75" hidden="1" customHeight="1" x14ac:dyDescent="0.25">
      <c r="A7" s="55" t="s">
        <v>102</v>
      </c>
      <c r="B7" s="48" t="s">
        <v>75</v>
      </c>
      <c r="C7" s="51"/>
      <c r="D7" s="50"/>
      <c r="E7" s="50"/>
      <c r="F7" s="51"/>
      <c r="G7" s="52">
        <f t="shared" si="5"/>
        <v>0</v>
      </c>
      <c r="H7" s="52">
        <f t="shared" si="5"/>
        <v>0</v>
      </c>
      <c r="I7" s="52">
        <f t="shared" si="5"/>
        <v>0</v>
      </c>
      <c r="J7" s="42">
        <f t="shared" si="0"/>
        <v>0</v>
      </c>
      <c r="K7" s="42">
        <f t="shared" si="0"/>
        <v>0</v>
      </c>
      <c r="L7" s="42">
        <f t="shared" si="0"/>
        <v>0</v>
      </c>
      <c r="M7" s="52">
        <f t="shared" ref="M7:M10" si="7">C7-G7</f>
        <v>0</v>
      </c>
      <c r="N7" s="52">
        <f t="shared" ref="N7:N10" si="8">D7-H7</f>
        <v>0</v>
      </c>
      <c r="O7" s="52">
        <f t="shared" si="6"/>
        <v>0</v>
      </c>
      <c r="P7" s="52" t="e">
        <f t="shared" si="1"/>
        <v>#DIV/0!</v>
      </c>
      <c r="Q7" s="54" t="e">
        <f t="shared" si="1"/>
        <v>#DIV/0!</v>
      </c>
      <c r="R7" s="54" t="e">
        <f t="shared" si="2"/>
        <v>#DIV/0!</v>
      </c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25"/>
      <c r="BG7" s="3"/>
      <c r="BH7" s="3"/>
      <c r="BI7" s="3"/>
      <c r="BJ7" s="3"/>
    </row>
    <row r="8" spans="1:62" s="17" customFormat="1" ht="15.75" hidden="1" customHeight="1" x14ac:dyDescent="0.25">
      <c r="A8" s="55" t="s">
        <v>103</v>
      </c>
      <c r="B8" s="48" t="s">
        <v>76</v>
      </c>
      <c r="C8" s="51"/>
      <c r="D8" s="50"/>
      <c r="E8" s="50"/>
      <c r="F8" s="51"/>
      <c r="G8" s="52">
        <f t="shared" si="5"/>
        <v>0</v>
      </c>
      <c r="H8" s="52">
        <f t="shared" si="5"/>
        <v>0</v>
      </c>
      <c r="I8" s="52">
        <f t="shared" si="5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52">
        <f t="shared" si="7"/>
        <v>0</v>
      </c>
      <c r="N8" s="52">
        <f t="shared" si="8"/>
        <v>0</v>
      </c>
      <c r="O8" s="52">
        <f t="shared" si="6"/>
        <v>0</v>
      </c>
      <c r="P8" s="52" t="e">
        <f t="shared" si="1"/>
        <v>#DIV/0!</v>
      </c>
      <c r="Q8" s="54" t="e">
        <f t="shared" si="1"/>
        <v>#DIV/0!</v>
      </c>
      <c r="R8" s="54" t="e">
        <f t="shared" si="2"/>
        <v>#DIV/0!</v>
      </c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25"/>
      <c r="BG8" s="3"/>
      <c r="BH8" s="3"/>
      <c r="BI8" s="3"/>
      <c r="BJ8" s="3"/>
    </row>
    <row r="9" spans="1:62" s="17" customFormat="1" ht="15.75" customHeight="1" x14ac:dyDescent="0.25">
      <c r="A9" s="55" t="s">
        <v>104</v>
      </c>
      <c r="B9" s="48" t="s">
        <v>77</v>
      </c>
      <c r="C9" s="51">
        <v>15833.25</v>
      </c>
      <c r="D9" s="50"/>
      <c r="E9" s="50"/>
      <c r="F9" s="51"/>
      <c r="G9" s="52">
        <f t="shared" si="5"/>
        <v>0</v>
      </c>
      <c r="H9" s="52">
        <f t="shared" si="5"/>
        <v>0</v>
      </c>
      <c r="I9" s="52">
        <f t="shared" si="5"/>
        <v>0</v>
      </c>
      <c r="J9" s="42">
        <f t="shared" si="0"/>
        <v>0</v>
      </c>
      <c r="K9" s="42">
        <f t="shared" si="0"/>
        <v>0</v>
      </c>
      <c r="L9" s="42">
        <f t="shared" si="0"/>
        <v>0</v>
      </c>
      <c r="M9" s="52">
        <f t="shared" si="7"/>
        <v>15833.25</v>
      </c>
      <c r="N9" s="52">
        <f t="shared" si="8"/>
        <v>0</v>
      </c>
      <c r="O9" s="52">
        <f t="shared" si="6"/>
        <v>0</v>
      </c>
      <c r="P9" s="52">
        <f t="shared" si="1"/>
        <v>0</v>
      </c>
      <c r="Q9" s="54" t="e">
        <f t="shared" si="1"/>
        <v>#DIV/0!</v>
      </c>
      <c r="R9" s="54" t="e">
        <f t="shared" si="2"/>
        <v>#DIV/0!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25"/>
      <c r="BG9" s="3"/>
      <c r="BH9" s="3"/>
      <c r="BI9" s="3"/>
      <c r="BJ9" s="3"/>
    </row>
    <row r="10" spans="1:62" s="17" customFormat="1" ht="15.75" customHeight="1" x14ac:dyDescent="0.25">
      <c r="A10" s="55" t="s">
        <v>105</v>
      </c>
      <c r="B10" s="48" t="s">
        <v>78</v>
      </c>
      <c r="C10" s="51">
        <v>1950</v>
      </c>
      <c r="D10" s="50"/>
      <c r="E10" s="50"/>
      <c r="F10" s="51"/>
      <c r="G10" s="52">
        <f t="shared" si="5"/>
        <v>0</v>
      </c>
      <c r="H10" s="52">
        <f t="shared" si="5"/>
        <v>0</v>
      </c>
      <c r="I10" s="52">
        <f t="shared" si="5"/>
        <v>0</v>
      </c>
      <c r="J10" s="42">
        <f t="shared" si="0"/>
        <v>0</v>
      </c>
      <c r="K10" s="42">
        <f t="shared" si="0"/>
        <v>0</v>
      </c>
      <c r="L10" s="42">
        <f t="shared" si="0"/>
        <v>0</v>
      </c>
      <c r="M10" s="52">
        <f t="shared" si="7"/>
        <v>1950</v>
      </c>
      <c r="N10" s="52">
        <f t="shared" si="8"/>
        <v>0</v>
      </c>
      <c r="O10" s="52">
        <f t="shared" si="6"/>
        <v>0</v>
      </c>
      <c r="P10" s="52">
        <f t="shared" si="1"/>
        <v>0</v>
      </c>
      <c r="Q10" s="54" t="e">
        <f t="shared" si="1"/>
        <v>#DIV/0!</v>
      </c>
      <c r="R10" s="54" t="e">
        <f t="shared" si="2"/>
        <v>#DIV/0!</v>
      </c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25"/>
      <c r="BG10" s="3"/>
      <c r="BH10" s="3"/>
      <c r="BI10" s="3"/>
      <c r="BJ10" s="3"/>
    </row>
    <row r="11" spans="1:62" ht="21" x14ac:dyDescent="0.35">
      <c r="A11" s="56" t="s">
        <v>32</v>
      </c>
      <c r="B11" s="57"/>
      <c r="C11" s="45">
        <f>SUM(C12:C49)</f>
        <v>1739552.4300000002</v>
      </c>
      <c r="D11" s="45">
        <f>SUM(D12:D49)</f>
        <v>1553537.26</v>
      </c>
      <c r="E11" s="45">
        <f>SUM(E12:E49)</f>
        <v>0</v>
      </c>
      <c r="F11" s="45">
        <f>SUM(F12:F49)</f>
        <v>942843.3899999999</v>
      </c>
      <c r="G11" s="45">
        <f>SUM(G12:G49)</f>
        <v>870089.42999999993</v>
      </c>
      <c r="H11" s="45">
        <f>SUM(H12:H49)</f>
        <v>1486533.54</v>
      </c>
      <c r="I11" s="58">
        <f>SUM(I12:I46)</f>
        <v>267162.83</v>
      </c>
      <c r="J11" s="45">
        <f>IF(BC11=0,SUM(S11+V11+Y11+AB11+AE11+AH11+AK11+AN11+AQ11+AT11+AW11+AZ11),BC11)</f>
        <v>870089.43</v>
      </c>
      <c r="K11" s="45">
        <f t="shared" ref="K11:K36" si="9">IF(BD11=0,SUM(T11+W11+Z11+AC11+AF11+AI11+AL11+AO11+AR11+AU11+AX11+BA11),BD11)</f>
        <v>1486533.54</v>
      </c>
      <c r="L11" s="58">
        <f t="shared" ref="L11:L45" si="10">IF(BE11=0,SUM(U11+X11+AA11+AD11+AG11+AJ11+AM11+AP11+AS11+AV11+AY11+BB11),BE11)</f>
        <v>267162.82999999996</v>
      </c>
      <c r="M11" s="45">
        <f>SUM(M12:M49)</f>
        <v>869462.99999999977</v>
      </c>
      <c r="N11" s="45">
        <f>SUM(N12:N49)</f>
        <v>67003.72000000003</v>
      </c>
      <c r="O11" s="58">
        <f>SUM(O12:O49)</f>
        <v>675680.55999999994</v>
      </c>
      <c r="P11" s="46">
        <f t="shared" ref="P11:P45" si="11">G11/C11</f>
        <v>0.50018005493516504</v>
      </c>
      <c r="Q11" s="46">
        <f t="shared" ref="Q11:Q45" si="12">H11/D11</f>
        <v>0.95687022015809264</v>
      </c>
      <c r="R11" s="46">
        <f t="shared" ref="R11:R45" si="13">I11/F11</f>
        <v>0.2833586498389728</v>
      </c>
      <c r="S11" s="45">
        <f>SUM(S12:S49)</f>
        <v>27.08</v>
      </c>
      <c r="T11" s="45">
        <f>SUM(T12:T48)</f>
        <v>75551.12</v>
      </c>
      <c r="U11" s="45">
        <f>SUM(U12:U49)</f>
        <v>0</v>
      </c>
      <c r="V11" s="45">
        <f>SUM(V12:V49)</f>
        <v>1828.43</v>
      </c>
      <c r="W11" s="45">
        <f>SUM(W12:W49)</f>
        <v>89502.900000000009</v>
      </c>
      <c r="X11" s="45">
        <f>SUM(X12:X46)</f>
        <v>0</v>
      </c>
      <c r="Y11" s="45">
        <f>SUM(Y12:Y49)</f>
        <v>54213.289999999994</v>
      </c>
      <c r="Z11" s="45">
        <f>SUM(Z12:Z48)</f>
        <v>182708.91</v>
      </c>
      <c r="AA11" s="45">
        <f>SUM(AA12:AA46)</f>
        <v>0</v>
      </c>
      <c r="AB11" s="45">
        <f>SUM(AB12:AB49)</f>
        <v>50496.369999999995</v>
      </c>
      <c r="AC11" s="45">
        <f>SUM(AC12:AC49)</f>
        <v>159260.24</v>
      </c>
      <c r="AD11" s="45">
        <f>SUM(AD12:AD46)</f>
        <v>0</v>
      </c>
      <c r="AE11" s="45">
        <f>SUM(AE12:AE49)</f>
        <v>84305.43</v>
      </c>
      <c r="AF11" s="45">
        <f>SUM(AF12:AF49)</f>
        <v>116175.06999999999</v>
      </c>
      <c r="AG11" s="45">
        <f>SUM(AG12:AG46)</f>
        <v>0</v>
      </c>
      <c r="AH11" s="45">
        <f>SUM(AH12:AH49)</f>
        <v>95140.819999999992</v>
      </c>
      <c r="AI11" s="45">
        <f>SUM(AI12:AI49)</f>
        <v>145977.49000000002</v>
      </c>
      <c r="AJ11" s="45">
        <f>SUM(AJ12:AJ46)</f>
        <v>0</v>
      </c>
      <c r="AK11" s="45">
        <f>SUM(AK12:AK49)</f>
        <v>74410.820000000007</v>
      </c>
      <c r="AL11" s="45">
        <f>SUM(AL12:AL49)</f>
        <v>234237.12</v>
      </c>
      <c r="AM11" s="45">
        <f>SUM(AM12:AM46)</f>
        <v>0</v>
      </c>
      <c r="AN11" s="45">
        <f>SUM(AN12:AN49)</f>
        <v>71446.399999999994</v>
      </c>
      <c r="AO11" s="45">
        <f>SUM(AO12:AO46)</f>
        <v>158504.82</v>
      </c>
      <c r="AP11" s="45">
        <f>SUM(AP12:AP46)</f>
        <v>0</v>
      </c>
      <c r="AQ11" s="45">
        <f>SUM(AQ12:AQ49)</f>
        <v>94797.87999999999</v>
      </c>
      <c r="AR11" s="45">
        <f>SUM(AR12:AR49)</f>
        <v>166260.03</v>
      </c>
      <c r="AS11" s="45">
        <f>SUM(AS12:AS46)</f>
        <v>0</v>
      </c>
      <c r="AT11" s="45">
        <f>SUM(AT12:AT46)</f>
        <v>75405.959999999977</v>
      </c>
      <c r="AU11" s="45">
        <f>SUM(AU12:AU46)</f>
        <v>0</v>
      </c>
      <c r="AV11" s="45">
        <f>SUM(AV12:AV46)</f>
        <v>125861.28</v>
      </c>
      <c r="AW11" s="45">
        <f>SUM(AW12:AW46)</f>
        <v>77746.42</v>
      </c>
      <c r="AX11" s="45">
        <f>SUM(AX12:AX46)</f>
        <v>115898.61000000002</v>
      </c>
      <c r="AY11" s="45">
        <f>SUM(AY12:AY46)</f>
        <v>0</v>
      </c>
      <c r="AZ11" s="45">
        <f>SUM(AZ12:AZ49)</f>
        <v>190270.53000000003</v>
      </c>
      <c r="BA11" s="45">
        <f>SUM(BA12:BA49)</f>
        <v>42457.23</v>
      </c>
      <c r="BB11" s="45">
        <f>SUM(BB12:BB49)</f>
        <v>141301.54999999999</v>
      </c>
      <c r="BC11" s="45">
        <f>SUM(BC12:BC46)</f>
        <v>0</v>
      </c>
      <c r="BD11" s="45">
        <f>SUM(BD12:BD46)</f>
        <v>0</v>
      </c>
      <c r="BE11" s="45">
        <f>SUM(BE12:BE46)</f>
        <v>0</v>
      </c>
      <c r="BF11" s="26"/>
      <c r="BG11" s="4"/>
      <c r="BH11" s="4"/>
      <c r="BI11" s="4"/>
      <c r="BJ11" s="4"/>
    </row>
    <row r="12" spans="1:62" ht="15.75" customHeight="1" x14ac:dyDescent="0.25">
      <c r="A12" s="59" t="s">
        <v>116</v>
      </c>
      <c r="B12" s="60" t="s">
        <v>179</v>
      </c>
      <c r="C12" s="77">
        <f>1366.43+19000+11614.11+15690.95+17000+17000+17000+125000+372041.86-70383-20000-20000-127672.18</f>
        <v>357658.17</v>
      </c>
      <c r="D12" s="62">
        <v>33392.69</v>
      </c>
      <c r="E12" s="62"/>
      <c r="F12" s="63"/>
      <c r="G12" s="52">
        <f t="shared" ref="G12:I14" si="14">S12+V12+Y12+AB12+AE12+AH12+AK12+AN12+AQ12+AT12+AW12+AZ12</f>
        <v>162748.85</v>
      </c>
      <c r="H12" s="52">
        <f t="shared" si="14"/>
        <v>33392.69</v>
      </c>
      <c r="I12" s="52">
        <f t="shared" si="14"/>
        <v>0</v>
      </c>
      <c r="J12" s="42">
        <f t="shared" ref="J12:J45" si="15">IF(BC12=0,SUM(S12+V12+Y12+AB12+AE12+AH12+AK12+AN12+AQ12+AT12+AW12+AZ12),BC12)</f>
        <v>162748.85</v>
      </c>
      <c r="K12" s="42">
        <f t="shared" si="9"/>
        <v>33392.69</v>
      </c>
      <c r="L12" s="42">
        <f t="shared" si="10"/>
        <v>0</v>
      </c>
      <c r="M12" s="52">
        <f t="shared" ref="M12:M45" si="16">C12-G12</f>
        <v>194909.31999999998</v>
      </c>
      <c r="N12" s="52">
        <f t="shared" ref="N12:N45" si="17">D12-H12</f>
        <v>0</v>
      </c>
      <c r="O12" s="52">
        <f t="shared" ref="O12:O45" si="18">F12-I12</f>
        <v>0</v>
      </c>
      <c r="P12" s="54">
        <f t="shared" si="11"/>
        <v>0.45504021339705453</v>
      </c>
      <c r="Q12" s="54">
        <f t="shared" si="12"/>
        <v>1</v>
      </c>
      <c r="R12" s="54" t="e">
        <f t="shared" si="13"/>
        <v>#DIV/0!</v>
      </c>
      <c r="S12" s="50"/>
      <c r="T12" s="50">
        <v>18090.669999999998</v>
      </c>
      <c r="U12" s="50"/>
      <c r="V12" s="64">
        <f>1366.43</f>
        <v>1366.43</v>
      </c>
      <c r="W12" s="64">
        <v>15302.02</v>
      </c>
      <c r="X12" s="50"/>
      <c r="Y12" s="50">
        <v>15086.89</v>
      </c>
      <c r="Z12" s="50"/>
      <c r="AA12" s="50"/>
      <c r="AB12" s="50">
        <f>16009.2-481.98</f>
        <v>15527.220000000001</v>
      </c>
      <c r="AC12" s="50"/>
      <c r="AD12" s="50"/>
      <c r="AE12" s="50"/>
      <c r="AF12" s="50"/>
      <c r="AG12" s="50"/>
      <c r="AH12" s="50">
        <f>15690.95+14468.24-902.65-115.52</f>
        <v>29141.02</v>
      </c>
      <c r="AI12" s="50"/>
      <c r="AJ12" s="50"/>
      <c r="AK12" s="50">
        <v>16382.32</v>
      </c>
      <c r="AL12" s="50"/>
      <c r="AM12" s="50"/>
      <c r="AN12" s="50">
        <v>17237.8</v>
      </c>
      <c r="AO12" s="50"/>
      <c r="AP12" s="50"/>
      <c r="AQ12" s="50">
        <v>17094.22</v>
      </c>
      <c r="AR12" s="50"/>
      <c r="AS12" s="50"/>
      <c r="AT12" s="50">
        <v>15250.22</v>
      </c>
      <c r="AU12" s="50"/>
      <c r="AV12" s="50"/>
      <c r="AW12" s="50">
        <v>17467.759999999998</v>
      </c>
      <c r="AX12" s="50"/>
      <c r="AY12" s="50"/>
      <c r="AZ12" s="50">
        <v>18194.97</v>
      </c>
      <c r="BA12" s="50"/>
      <c r="BB12" s="50"/>
      <c r="BC12" s="50"/>
      <c r="BD12" s="50"/>
      <c r="BE12" s="50"/>
      <c r="BF12" s="25"/>
      <c r="BG12" s="3"/>
      <c r="BH12" s="3"/>
      <c r="BI12" s="3"/>
      <c r="BJ12" s="3"/>
    </row>
    <row r="13" spans="1:62" ht="15.75" customHeight="1" x14ac:dyDescent="0.25">
      <c r="A13" s="59" t="s">
        <v>118</v>
      </c>
      <c r="B13" s="65" t="s">
        <v>79</v>
      </c>
      <c r="C13" s="77">
        <v>2600</v>
      </c>
      <c r="D13" s="62">
        <f>236.29+3000</f>
        <v>3236.29</v>
      </c>
      <c r="E13" s="62"/>
      <c r="F13" s="63"/>
      <c r="G13" s="52">
        <f t="shared" si="14"/>
        <v>0</v>
      </c>
      <c r="H13" s="52">
        <f t="shared" si="14"/>
        <v>523.71</v>
      </c>
      <c r="I13" s="52">
        <f t="shared" si="14"/>
        <v>0</v>
      </c>
      <c r="J13" s="42">
        <f t="shared" si="15"/>
        <v>0</v>
      </c>
      <c r="K13" s="42">
        <f t="shared" si="9"/>
        <v>523.71</v>
      </c>
      <c r="L13" s="42">
        <f t="shared" si="10"/>
        <v>0</v>
      </c>
      <c r="M13" s="52">
        <f t="shared" si="16"/>
        <v>2600</v>
      </c>
      <c r="N13" s="52">
        <f t="shared" si="17"/>
        <v>2712.58</v>
      </c>
      <c r="O13" s="52">
        <f t="shared" si="18"/>
        <v>0</v>
      </c>
      <c r="P13" s="54">
        <f t="shared" si="11"/>
        <v>0</v>
      </c>
      <c r="Q13" s="54">
        <f t="shared" si="12"/>
        <v>0.16182418757280714</v>
      </c>
      <c r="R13" s="54" t="e">
        <f t="shared" si="13"/>
        <v>#DIV/0!</v>
      </c>
      <c r="S13" s="50"/>
      <c r="T13" s="50">
        <v>15.55</v>
      </c>
      <c r="U13" s="50"/>
      <c r="V13" s="64"/>
      <c r="W13" s="64">
        <f>0.31+27.85</f>
        <v>28.16</v>
      </c>
      <c r="X13" s="50"/>
      <c r="Y13" s="50"/>
      <c r="Z13" s="50">
        <f>122.06</f>
        <v>122.06</v>
      </c>
      <c r="AA13" s="50"/>
      <c r="AB13" s="50"/>
      <c r="AC13" s="50"/>
      <c r="AD13" s="50"/>
      <c r="AE13" s="50"/>
      <c r="AF13" s="50"/>
      <c r="AG13" s="50"/>
      <c r="AH13" s="50"/>
      <c r="AI13" s="50">
        <f>205.45</f>
        <v>205.45</v>
      </c>
      <c r="AJ13" s="50"/>
      <c r="AK13" s="50"/>
      <c r="AL13" s="50"/>
      <c r="AM13" s="50"/>
      <c r="AN13" s="50"/>
      <c r="AO13" s="50">
        <v>100.73</v>
      </c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>
        <v>51.76</v>
      </c>
      <c r="BB13" s="50"/>
      <c r="BC13" s="50"/>
      <c r="BD13" s="50"/>
      <c r="BE13" s="50"/>
      <c r="BF13" s="25"/>
      <c r="BG13" s="3"/>
      <c r="BH13" s="3"/>
      <c r="BI13" s="3"/>
      <c r="BJ13" s="3"/>
    </row>
    <row r="14" spans="1:62" ht="15.75" customHeight="1" x14ac:dyDescent="0.25">
      <c r="A14" s="59" t="s">
        <v>117</v>
      </c>
      <c r="B14" s="65" t="s">
        <v>106</v>
      </c>
      <c r="C14" s="77">
        <f>21932.34+21932.34+21932.34+21932.34+21932.34+21932.34+43864.68+175458.72-28390.72</f>
        <v>322526.71999999997</v>
      </c>
      <c r="D14" s="62">
        <v>43864.68</v>
      </c>
      <c r="E14" s="62"/>
      <c r="F14" s="63"/>
      <c r="G14" s="52">
        <f t="shared" si="14"/>
        <v>216293</v>
      </c>
      <c r="H14" s="52">
        <f t="shared" si="14"/>
        <v>43864.68</v>
      </c>
      <c r="I14" s="52">
        <f t="shared" si="14"/>
        <v>0</v>
      </c>
      <c r="J14" s="42">
        <f t="shared" si="15"/>
        <v>216293</v>
      </c>
      <c r="K14" s="42">
        <f t="shared" si="9"/>
        <v>43864.68</v>
      </c>
      <c r="L14" s="42">
        <f t="shared" si="10"/>
        <v>0</v>
      </c>
      <c r="M14" s="52">
        <f t="shared" si="16"/>
        <v>106233.71999999997</v>
      </c>
      <c r="N14" s="52">
        <f t="shared" si="17"/>
        <v>0</v>
      </c>
      <c r="O14" s="52">
        <f t="shared" si="18"/>
        <v>0</v>
      </c>
      <c r="P14" s="54">
        <f t="shared" si="11"/>
        <v>0.67062040627207575</v>
      </c>
      <c r="Q14" s="54">
        <f t="shared" si="12"/>
        <v>1</v>
      </c>
      <c r="R14" s="54" t="e">
        <f t="shared" si="13"/>
        <v>#DIV/0!</v>
      </c>
      <c r="S14" s="50"/>
      <c r="T14" s="50">
        <v>21932.34</v>
      </c>
      <c r="U14" s="50"/>
      <c r="V14" s="64"/>
      <c r="W14" s="64">
        <f>43864.68-T14</f>
        <v>21932.34</v>
      </c>
      <c r="X14" s="50"/>
      <c r="Y14" s="50">
        <v>21932.34</v>
      </c>
      <c r="Z14" s="50"/>
      <c r="AA14" s="50"/>
      <c r="AB14" s="50">
        <v>21932.34</v>
      </c>
      <c r="AC14" s="50"/>
      <c r="AD14" s="50"/>
      <c r="AE14" s="50">
        <f>21932.34</f>
        <v>21932.34</v>
      </c>
      <c r="AF14" s="50"/>
      <c r="AG14" s="50"/>
      <c r="AH14" s="50">
        <f>21932.34</f>
        <v>21932.34</v>
      </c>
      <c r="AI14" s="50"/>
      <c r="AJ14" s="50"/>
      <c r="AK14" s="50">
        <v>21932.34</v>
      </c>
      <c r="AL14" s="50"/>
      <c r="AM14" s="50"/>
      <c r="AN14" s="50">
        <v>21932.34</v>
      </c>
      <c r="AO14" s="50"/>
      <c r="AP14" s="50"/>
      <c r="AQ14" s="50">
        <v>21932.34</v>
      </c>
      <c r="AR14" s="50"/>
      <c r="AS14" s="50"/>
      <c r="AT14" s="50">
        <v>21932.34</v>
      </c>
      <c r="AU14" s="50"/>
      <c r="AV14" s="50"/>
      <c r="AW14" s="50">
        <v>21932.34</v>
      </c>
      <c r="AX14" s="50"/>
      <c r="AY14" s="50"/>
      <c r="AZ14" s="50">
        <f>5848.62+13053.32</f>
        <v>18901.939999999999</v>
      </c>
      <c r="BA14" s="50"/>
      <c r="BB14" s="50"/>
      <c r="BC14" s="50"/>
      <c r="BD14" s="50"/>
      <c r="BE14" s="50"/>
      <c r="BF14" s="25"/>
      <c r="BG14" s="3"/>
      <c r="BH14" s="3"/>
      <c r="BI14" s="3"/>
      <c r="BJ14" s="3"/>
    </row>
    <row r="15" spans="1:62" ht="15.75" customHeight="1" x14ac:dyDescent="0.25">
      <c r="A15" s="59" t="s">
        <v>119</v>
      </c>
      <c r="B15" s="65" t="s">
        <v>180</v>
      </c>
      <c r="C15" s="77">
        <f>10747.76+19190.52+22508.68+20020.06+20020.06+20020.06+200200.6+320320.96-90000-80000-50000-40260.78</f>
        <v>372767.91999999993</v>
      </c>
      <c r="D15" s="62">
        <v>38381.040000000001</v>
      </c>
      <c r="E15" s="62"/>
      <c r="F15" s="63"/>
      <c r="G15" s="52">
        <f t="shared" ref="G15:G25" si="19">S15+V15+Y15+AB15+AE15+AH15+AK15+AN15+AQ15+AT15+AW15+AZ15</f>
        <v>192587.38</v>
      </c>
      <c r="H15" s="52">
        <f>T15+W15+AC15+AI15+AL15+AO15+AR15+AU15+AX15+BA15</f>
        <v>38381.040000000001</v>
      </c>
      <c r="I15" s="52">
        <f>U15+X15+AA15+AD15+AG15+AJ15+AM15+AP15+AS15+AV15+AY15+BB15</f>
        <v>0</v>
      </c>
      <c r="J15" s="42">
        <f>IF(BC15=0,SUM(S15+V15+Y15+AB15+AE15+AH15+AK15+AN15+AQ15+AT15+AW15+AZ15),BC15)</f>
        <v>192587.38</v>
      </c>
      <c r="K15" s="42">
        <f>IF(BD15=0,SUM(T15+W15+AC15+AI15+AL15+AO15+AR15+AU15+AX15+BA15),BD15)</f>
        <v>38381.040000000001</v>
      </c>
      <c r="L15" s="42">
        <f t="shared" si="10"/>
        <v>0</v>
      </c>
      <c r="M15" s="52">
        <f t="shared" si="16"/>
        <v>180180.53999999992</v>
      </c>
      <c r="N15" s="52">
        <f t="shared" si="17"/>
        <v>0</v>
      </c>
      <c r="O15" s="52">
        <f t="shared" si="18"/>
        <v>0</v>
      </c>
      <c r="P15" s="54">
        <f t="shared" si="11"/>
        <v>0.51664150713398316</v>
      </c>
      <c r="Q15" s="54">
        <f t="shared" si="12"/>
        <v>1</v>
      </c>
      <c r="R15" s="54" t="e">
        <f t="shared" si="13"/>
        <v>#DIV/0!</v>
      </c>
      <c r="S15" s="50"/>
      <c r="T15" s="50">
        <f>19190.52</f>
        <v>19190.52</v>
      </c>
      <c r="U15" s="66"/>
      <c r="V15" s="64"/>
      <c r="W15" s="64">
        <v>19190.52</v>
      </c>
      <c r="X15" s="50"/>
      <c r="Y15" s="50">
        <v>10747.76</v>
      </c>
      <c r="Z15" s="50"/>
      <c r="AA15" s="50"/>
      <c r="AB15" s="50">
        <v>0</v>
      </c>
      <c r="AC15" s="50"/>
      <c r="AD15" s="50"/>
      <c r="AE15" s="50">
        <f>19190.52+22508.68</f>
        <v>41699.199999999997</v>
      </c>
      <c r="AF15" s="67"/>
      <c r="AG15" s="50"/>
      <c r="AH15" s="50">
        <f>20020.06</f>
        <v>20020.060000000001</v>
      </c>
      <c r="AI15" s="50"/>
      <c r="AJ15" s="50"/>
      <c r="AK15" s="50">
        <v>20020.060000000001</v>
      </c>
      <c r="AL15" s="50"/>
      <c r="AM15" s="50"/>
      <c r="AN15" s="50">
        <v>20020.060000000001</v>
      </c>
      <c r="AO15" s="50"/>
      <c r="AP15" s="50"/>
      <c r="AQ15" s="50">
        <v>20020.060000000001</v>
      </c>
      <c r="AR15" s="50"/>
      <c r="AS15" s="50"/>
      <c r="AT15" s="50">
        <v>20020.060000000001</v>
      </c>
      <c r="AU15" s="50"/>
      <c r="AV15" s="50"/>
      <c r="AW15" s="50">
        <v>20020.060000000001</v>
      </c>
      <c r="AX15" s="50"/>
      <c r="AY15" s="50"/>
      <c r="AZ15" s="50">
        <v>20020.060000000001</v>
      </c>
      <c r="BA15" s="50"/>
      <c r="BB15" s="50"/>
      <c r="BC15" s="50"/>
      <c r="BD15" s="50"/>
      <c r="BE15" s="50"/>
      <c r="BF15" s="25"/>
      <c r="BG15" s="3"/>
      <c r="BH15" s="3"/>
      <c r="BI15" s="3"/>
      <c r="BJ15" s="3"/>
    </row>
    <row r="16" spans="1:62" ht="15.75" x14ac:dyDescent="0.25">
      <c r="A16" s="59" t="s">
        <v>120</v>
      </c>
      <c r="B16" s="68" t="s">
        <v>181</v>
      </c>
      <c r="C16" s="77">
        <f>3269.52+3269.52+3902.04+3427.65+3427.65+3427.65+17138.25+6855.3+10282.95</f>
        <v>55000.53</v>
      </c>
      <c r="D16" s="62">
        <v>6539.04</v>
      </c>
      <c r="E16" s="62"/>
      <c r="F16" s="63"/>
      <c r="G16" s="52">
        <f t="shared" si="19"/>
        <v>34434.630000000005</v>
      </c>
      <c r="H16" s="52">
        <f>T16+W16+Z16+AC16+AF16+AI16+AL16+AO16+AR16+AU16+AX16+BA16</f>
        <v>6539.04</v>
      </c>
      <c r="I16" s="52">
        <f t="shared" ref="I16:I38" si="20">U16+X16+AA16+AD16+AG16+AJ16+AM16+AP16+AS16+AV16+AY16+BB16</f>
        <v>0</v>
      </c>
      <c r="J16" s="42">
        <f t="shared" si="15"/>
        <v>34434.630000000005</v>
      </c>
      <c r="K16" s="42">
        <f>IF(BD16=0,SUM(T16+W16+Y16+AC16+AF16+AI16+AL16+AO16+AR16+AU16+AX16+BA16),BD16)</f>
        <v>9808.56</v>
      </c>
      <c r="L16" s="42">
        <f t="shared" si="10"/>
        <v>0</v>
      </c>
      <c r="M16" s="52">
        <f t="shared" si="16"/>
        <v>20565.899999999994</v>
      </c>
      <c r="N16" s="52">
        <f>D16-H16</f>
        <v>0</v>
      </c>
      <c r="O16" s="52">
        <f t="shared" si="18"/>
        <v>0</v>
      </c>
      <c r="P16" s="54">
        <f t="shared" si="11"/>
        <v>0.62607814870147627</v>
      </c>
      <c r="Q16" s="54">
        <f t="shared" si="12"/>
        <v>1</v>
      </c>
      <c r="R16" s="54" t="e">
        <f t="shared" si="13"/>
        <v>#DIV/0!</v>
      </c>
      <c r="S16" s="50"/>
      <c r="T16" s="50">
        <v>3269.52</v>
      </c>
      <c r="U16" s="50"/>
      <c r="V16" s="64"/>
      <c r="W16" s="64">
        <v>3269.52</v>
      </c>
      <c r="X16" s="50"/>
      <c r="Y16" s="50">
        <v>3269.52</v>
      </c>
      <c r="Z16" s="67"/>
      <c r="AA16" s="50"/>
      <c r="AB16" s="50">
        <v>3269.52</v>
      </c>
      <c r="AC16" s="50"/>
      <c r="AD16" s="50"/>
      <c r="AE16" s="50">
        <f>3902.04</f>
        <v>3902.04</v>
      </c>
      <c r="AF16" s="50"/>
      <c r="AG16" s="50"/>
      <c r="AH16" s="50">
        <v>3427.65</v>
      </c>
      <c r="AI16" s="50"/>
      <c r="AJ16" s="50"/>
      <c r="AK16" s="50">
        <v>3427.65</v>
      </c>
      <c r="AL16" s="50"/>
      <c r="AM16" s="50"/>
      <c r="AN16" s="50">
        <v>3427.65</v>
      </c>
      <c r="AO16" s="50"/>
      <c r="AP16" s="50"/>
      <c r="AQ16" s="50">
        <v>3427.65</v>
      </c>
      <c r="AR16" s="50"/>
      <c r="AS16" s="50"/>
      <c r="AT16" s="50">
        <v>3427.65</v>
      </c>
      <c r="AU16" s="50"/>
      <c r="AV16" s="50"/>
      <c r="AW16" s="50">
        <v>3427.65</v>
      </c>
      <c r="AX16" s="50"/>
      <c r="AY16" s="50"/>
      <c r="AZ16" s="50">
        <v>3427.65</v>
      </c>
      <c r="BA16" s="50"/>
      <c r="BB16" s="50"/>
      <c r="BC16" s="50"/>
      <c r="BD16" s="50"/>
      <c r="BE16" s="50"/>
      <c r="BF16" s="25"/>
      <c r="BG16" s="3"/>
      <c r="BH16" s="3"/>
      <c r="BI16" s="3"/>
      <c r="BJ16" s="3"/>
    </row>
    <row r="17" spans="1:62" ht="15.75" customHeight="1" x14ac:dyDescent="0.25">
      <c r="A17" s="59" t="s">
        <v>121</v>
      </c>
      <c r="B17" s="68" t="s">
        <v>182</v>
      </c>
      <c r="C17" s="77">
        <f>170.69+1829.31</f>
        <v>2000</v>
      </c>
      <c r="D17" s="62">
        <v>1870.11</v>
      </c>
      <c r="E17" s="62"/>
      <c r="F17" s="63"/>
      <c r="G17" s="52">
        <f t="shared" si="19"/>
        <v>161.33000000000001</v>
      </c>
      <c r="H17" s="52">
        <f t="shared" ref="H17:H49" si="21">T17+W17+Z17+AC17+AF17+AI17+AL17+AO17+AR17+AU17+AX17+BA17</f>
        <v>1870.11</v>
      </c>
      <c r="I17" s="52">
        <f t="shared" si="20"/>
        <v>0</v>
      </c>
      <c r="J17" s="42">
        <f t="shared" si="15"/>
        <v>161.33000000000001</v>
      </c>
      <c r="K17" s="42">
        <f t="shared" si="9"/>
        <v>1870.11</v>
      </c>
      <c r="L17" s="42">
        <f t="shared" si="10"/>
        <v>0</v>
      </c>
      <c r="M17" s="52">
        <f t="shared" si="16"/>
        <v>1838.67</v>
      </c>
      <c r="N17" s="52">
        <f t="shared" si="17"/>
        <v>0</v>
      </c>
      <c r="O17" s="52">
        <f t="shared" si="18"/>
        <v>0</v>
      </c>
      <c r="P17" s="54">
        <f t="shared" si="11"/>
        <v>8.0665000000000001E-2</v>
      </c>
      <c r="Q17" s="54">
        <f t="shared" si="12"/>
        <v>1</v>
      </c>
      <c r="R17" s="54" t="e">
        <f t="shared" si="13"/>
        <v>#DIV/0!</v>
      </c>
      <c r="S17" s="50"/>
      <c r="T17" s="50"/>
      <c r="U17" s="50"/>
      <c r="V17" s="64"/>
      <c r="W17" s="64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>
        <v>161.33000000000001</v>
      </c>
      <c r="AI17" s="50">
        <v>1870.11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25"/>
      <c r="BG17" s="3"/>
      <c r="BH17" s="3"/>
      <c r="BI17" s="3"/>
      <c r="BJ17" s="3"/>
    </row>
    <row r="18" spans="1:62" ht="15.75" customHeight="1" x14ac:dyDescent="0.25">
      <c r="A18" s="59" t="s">
        <v>120</v>
      </c>
      <c r="B18" s="65" t="s">
        <v>183</v>
      </c>
      <c r="C18" s="77">
        <f>3725.61+3725.61+3725.61+3725.61+3725.61+3725.61+18628.05+7451.22+5656.5</f>
        <v>54089.43</v>
      </c>
      <c r="D18" s="62">
        <v>11176.83</v>
      </c>
      <c r="E18" s="62"/>
      <c r="F18" s="63"/>
      <c r="G18" s="52">
        <f t="shared" si="19"/>
        <v>37256.1</v>
      </c>
      <c r="H18" s="52">
        <f>T18+W18+Z18+AC18+AF18+AI18+AL18+AO18+AR18+AU18+AX18+BA18</f>
        <v>11176.83</v>
      </c>
      <c r="I18" s="52">
        <f t="shared" si="20"/>
        <v>0</v>
      </c>
      <c r="J18" s="42">
        <f t="shared" si="15"/>
        <v>37256.1</v>
      </c>
      <c r="K18" s="42">
        <f>IF(BD18=0,SUM(T18+W18+Y18+AC18+AF18+AI18+AL18+AO18+AR18+AU18+AX18+BA18),BD18)</f>
        <v>7451.22</v>
      </c>
      <c r="L18" s="42">
        <f t="shared" si="10"/>
        <v>0</v>
      </c>
      <c r="M18" s="52">
        <f t="shared" si="16"/>
        <v>16833.330000000002</v>
      </c>
      <c r="N18" s="52">
        <f t="shared" si="17"/>
        <v>0</v>
      </c>
      <c r="O18" s="52">
        <f t="shared" si="18"/>
        <v>0</v>
      </c>
      <c r="P18" s="54">
        <f t="shared" si="11"/>
        <v>0.68878706985819593</v>
      </c>
      <c r="Q18" s="54">
        <f t="shared" si="12"/>
        <v>1</v>
      </c>
      <c r="R18" s="54" t="e">
        <f t="shared" si="13"/>
        <v>#DIV/0!</v>
      </c>
      <c r="S18" s="50"/>
      <c r="T18" s="50">
        <f>3725.61+3725.61</f>
        <v>7451.22</v>
      </c>
      <c r="U18" s="50"/>
      <c r="V18" s="64"/>
      <c r="W18" s="64"/>
      <c r="X18" s="50"/>
      <c r="Y18" s="50"/>
      <c r="Z18" s="50">
        <v>3725.61</v>
      </c>
      <c r="AA18" s="50"/>
      <c r="AB18" s="50">
        <v>3725.61</v>
      </c>
      <c r="AC18" s="50"/>
      <c r="AD18" s="50"/>
      <c r="AE18" s="50">
        <f>3725.61+3725.61</f>
        <v>7451.22</v>
      </c>
      <c r="AF18" s="50"/>
      <c r="AG18" s="50"/>
      <c r="AH18" s="50">
        <v>3725.61</v>
      </c>
      <c r="AI18" s="50"/>
      <c r="AJ18" s="50"/>
      <c r="AK18" s="50">
        <v>3725.61</v>
      </c>
      <c r="AL18" s="50"/>
      <c r="AM18" s="50"/>
      <c r="AN18" s="50">
        <v>3725.61</v>
      </c>
      <c r="AO18" s="50"/>
      <c r="AP18" s="50"/>
      <c r="AQ18" s="50">
        <v>3725.61</v>
      </c>
      <c r="AR18" s="50"/>
      <c r="AS18" s="50"/>
      <c r="AT18" s="50"/>
      <c r="AU18" s="50"/>
      <c r="AV18" s="50"/>
      <c r="AW18" s="50">
        <f>3725.61+3725.61</f>
        <v>7451.22</v>
      </c>
      <c r="AX18" s="50"/>
      <c r="AY18" s="50"/>
      <c r="AZ18" s="50">
        <v>3725.61</v>
      </c>
      <c r="BA18" s="50"/>
      <c r="BB18" s="50"/>
      <c r="BC18" s="50"/>
      <c r="BD18" s="50"/>
      <c r="BE18" s="50"/>
      <c r="BF18" s="25"/>
      <c r="BG18" s="3"/>
      <c r="BH18" s="3"/>
      <c r="BI18" s="3"/>
      <c r="BJ18" s="3"/>
    </row>
    <row r="19" spans="1:62" ht="15.75" x14ac:dyDescent="0.25">
      <c r="A19" s="59" t="s">
        <v>120</v>
      </c>
      <c r="B19" s="65" t="s">
        <v>184</v>
      </c>
      <c r="C19" s="77">
        <f>3176.78+3133.1+3133.1+3133.1+3133.1+3133.1+15655.5+6266.2+9409.3</f>
        <v>50173.279999999999</v>
      </c>
      <c r="D19" s="62">
        <v>6199</v>
      </c>
      <c r="E19" s="62"/>
      <c r="F19" s="63"/>
      <c r="G19" s="52">
        <f t="shared" si="19"/>
        <v>31374.679999999993</v>
      </c>
      <c r="H19" s="52">
        <f>T19+W19+Z19+AC19+AF19+AI19+AL19+AO19+AR19+AU19+AX19+BA19</f>
        <v>6199</v>
      </c>
      <c r="I19" s="52">
        <f t="shared" si="20"/>
        <v>0</v>
      </c>
      <c r="J19" s="42">
        <f t="shared" si="15"/>
        <v>31374.679999999993</v>
      </c>
      <c r="K19" s="42">
        <f>IF(BD19=0,SUM(T19+W19+Y19+AC19+AF19+AI19+AL19+AO19+AR19+AU19+AX19+BA19),BD19)</f>
        <v>9375.7800000000007</v>
      </c>
      <c r="L19" s="42">
        <f t="shared" si="10"/>
        <v>0</v>
      </c>
      <c r="M19" s="52">
        <f t="shared" si="16"/>
        <v>18798.600000000006</v>
      </c>
      <c r="N19" s="52">
        <f t="shared" si="17"/>
        <v>0</v>
      </c>
      <c r="O19" s="52">
        <f t="shared" si="18"/>
        <v>0</v>
      </c>
      <c r="P19" s="54">
        <f t="shared" si="11"/>
        <v>0.62532646859045282</v>
      </c>
      <c r="Q19" s="54">
        <f t="shared" si="12"/>
        <v>1</v>
      </c>
      <c r="R19" s="54" t="e">
        <f t="shared" si="13"/>
        <v>#DIV/0!</v>
      </c>
      <c r="S19" s="50"/>
      <c r="T19" s="50">
        <v>3099.5</v>
      </c>
      <c r="U19" s="50"/>
      <c r="V19" s="64"/>
      <c r="W19" s="64">
        <v>3099.5</v>
      </c>
      <c r="X19" s="50"/>
      <c r="Y19" s="50">
        <v>3176.78</v>
      </c>
      <c r="Z19" s="69"/>
      <c r="AA19" s="70"/>
      <c r="AB19" s="50">
        <v>3133.1</v>
      </c>
      <c r="AC19" s="70"/>
      <c r="AD19" s="70"/>
      <c r="AE19" s="50">
        <v>3133.1</v>
      </c>
      <c r="AF19" s="70"/>
      <c r="AG19" s="70"/>
      <c r="AH19" s="50">
        <v>3133.1</v>
      </c>
      <c r="AI19" s="50"/>
      <c r="AJ19" s="50"/>
      <c r="AK19" s="50">
        <v>3133.1</v>
      </c>
      <c r="AL19" s="50"/>
      <c r="AM19" s="50"/>
      <c r="AN19" s="50">
        <v>3133.1</v>
      </c>
      <c r="AO19" s="50"/>
      <c r="AP19" s="50"/>
      <c r="AQ19" s="50">
        <v>3133.1</v>
      </c>
      <c r="AR19" s="50"/>
      <c r="AS19" s="50"/>
      <c r="AT19" s="50">
        <v>3133.1</v>
      </c>
      <c r="AU19" s="50"/>
      <c r="AV19" s="50"/>
      <c r="AW19" s="50">
        <v>3133.1</v>
      </c>
      <c r="AX19" s="50"/>
      <c r="AY19" s="50"/>
      <c r="AZ19" s="50">
        <v>3133.1</v>
      </c>
      <c r="BA19" s="50"/>
      <c r="BB19" s="50"/>
      <c r="BC19" s="50"/>
      <c r="BD19" s="50"/>
      <c r="BE19" s="50"/>
      <c r="BF19" s="25"/>
      <c r="BG19" s="3"/>
      <c r="BH19" s="3"/>
      <c r="BI19" s="3"/>
      <c r="BJ19" s="3"/>
    </row>
    <row r="20" spans="1:62" ht="15.75" customHeight="1" x14ac:dyDescent="0.25">
      <c r="A20" s="59" t="s">
        <v>122</v>
      </c>
      <c r="B20" s="68" t="s">
        <v>185</v>
      </c>
      <c r="C20" s="77">
        <v>5583.4</v>
      </c>
      <c r="D20" s="62">
        <v>5047.3999999999996</v>
      </c>
      <c r="E20" s="62"/>
      <c r="F20" s="63"/>
      <c r="G20" s="52">
        <f t="shared" si="19"/>
        <v>0</v>
      </c>
      <c r="H20" s="52">
        <f t="shared" si="21"/>
        <v>5047.3999999999996</v>
      </c>
      <c r="I20" s="52">
        <f t="shared" si="20"/>
        <v>0</v>
      </c>
      <c r="J20" s="42">
        <f t="shared" si="15"/>
        <v>0</v>
      </c>
      <c r="K20" s="42">
        <f t="shared" si="9"/>
        <v>5047.3999999999996</v>
      </c>
      <c r="L20" s="42">
        <f t="shared" si="10"/>
        <v>0</v>
      </c>
      <c r="M20" s="52">
        <f t="shared" si="16"/>
        <v>5583.4</v>
      </c>
      <c r="N20" s="52">
        <f t="shared" si="17"/>
        <v>0</v>
      </c>
      <c r="O20" s="52">
        <f t="shared" si="18"/>
        <v>0</v>
      </c>
      <c r="P20" s="54">
        <f t="shared" si="11"/>
        <v>0</v>
      </c>
      <c r="Q20" s="54">
        <f t="shared" si="12"/>
        <v>1</v>
      </c>
      <c r="R20" s="54" t="e">
        <f t="shared" si="13"/>
        <v>#DIV/0!</v>
      </c>
      <c r="S20" s="50"/>
      <c r="T20" s="50"/>
      <c r="U20" s="50"/>
      <c r="V20" s="64"/>
      <c r="W20" s="64"/>
      <c r="X20" s="50"/>
      <c r="Y20" s="50"/>
      <c r="Z20" s="50"/>
      <c r="AA20" s="50"/>
      <c r="AB20" s="50"/>
      <c r="AC20" s="50">
        <v>5047.3999999999996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25"/>
      <c r="BG20" s="3"/>
      <c r="BH20" s="3"/>
      <c r="BI20" s="3"/>
      <c r="BJ20" s="3"/>
    </row>
    <row r="21" spans="1:62" ht="15.75" customHeight="1" x14ac:dyDescent="0.25">
      <c r="A21" s="59" t="s">
        <v>124</v>
      </c>
      <c r="B21" s="65" t="s">
        <v>80</v>
      </c>
      <c r="C21" s="77">
        <f>2235.71+3597.88</f>
        <v>5833.59</v>
      </c>
      <c r="D21" s="62"/>
      <c r="E21" s="62"/>
      <c r="F21" s="63"/>
      <c r="G21" s="52">
        <f t="shared" si="19"/>
        <v>5833.59</v>
      </c>
      <c r="H21" s="52">
        <f t="shared" si="21"/>
        <v>0</v>
      </c>
      <c r="I21" s="52">
        <f t="shared" si="20"/>
        <v>0</v>
      </c>
      <c r="J21" s="42">
        <f t="shared" si="15"/>
        <v>5833.59</v>
      </c>
      <c r="K21" s="42">
        <f t="shared" si="9"/>
        <v>0</v>
      </c>
      <c r="L21" s="42">
        <f t="shared" si="10"/>
        <v>0</v>
      </c>
      <c r="M21" s="52">
        <f t="shared" si="16"/>
        <v>0</v>
      </c>
      <c r="N21" s="52">
        <f t="shared" si="17"/>
        <v>0</v>
      </c>
      <c r="O21" s="52">
        <f t="shared" si="18"/>
        <v>0</v>
      </c>
      <c r="P21" s="54">
        <f t="shared" si="11"/>
        <v>1</v>
      </c>
      <c r="Q21" s="54" t="e">
        <f t="shared" si="12"/>
        <v>#DIV/0!</v>
      </c>
      <c r="R21" s="54" t="e">
        <f t="shared" si="13"/>
        <v>#DIV/0!</v>
      </c>
      <c r="S21" s="50"/>
      <c r="T21" s="50"/>
      <c r="U21" s="50"/>
      <c r="V21" s="64"/>
      <c r="W21" s="64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2235.71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>
        <v>3597.88</v>
      </c>
      <c r="BA21" s="50"/>
      <c r="BB21" s="50"/>
      <c r="BC21" s="50"/>
      <c r="BD21" s="50"/>
      <c r="BE21" s="50"/>
      <c r="BF21" s="25"/>
      <c r="BG21" s="3"/>
      <c r="BH21" s="3"/>
      <c r="BI21" s="3"/>
      <c r="BJ21" s="3"/>
    </row>
    <row r="22" spans="1:62" ht="15.75" customHeight="1" x14ac:dyDescent="0.25">
      <c r="A22" s="59" t="s">
        <v>123</v>
      </c>
      <c r="B22" s="68" t="s">
        <v>81</v>
      </c>
      <c r="C22" s="77">
        <v>13095</v>
      </c>
      <c r="D22" s="62"/>
      <c r="E22" s="62"/>
      <c r="F22" s="63"/>
      <c r="G22" s="52">
        <f t="shared" si="19"/>
        <v>0</v>
      </c>
      <c r="H22" s="52">
        <f t="shared" si="21"/>
        <v>0</v>
      </c>
      <c r="I22" s="52">
        <f t="shared" si="20"/>
        <v>0</v>
      </c>
      <c r="J22" s="42">
        <f t="shared" si="15"/>
        <v>0</v>
      </c>
      <c r="K22" s="42">
        <f t="shared" si="9"/>
        <v>0</v>
      </c>
      <c r="L22" s="42">
        <f t="shared" si="10"/>
        <v>0</v>
      </c>
      <c r="M22" s="52">
        <f t="shared" si="16"/>
        <v>13095</v>
      </c>
      <c r="N22" s="52">
        <f t="shared" si="17"/>
        <v>0</v>
      </c>
      <c r="O22" s="52">
        <f t="shared" si="18"/>
        <v>0</v>
      </c>
      <c r="P22" s="54">
        <f t="shared" si="11"/>
        <v>0</v>
      </c>
      <c r="Q22" s="54" t="e">
        <f t="shared" si="12"/>
        <v>#DIV/0!</v>
      </c>
      <c r="R22" s="54" t="e">
        <f t="shared" si="13"/>
        <v>#DIV/0!</v>
      </c>
      <c r="S22" s="50"/>
      <c r="T22" s="50"/>
      <c r="U22" s="50"/>
      <c r="V22" s="64"/>
      <c r="W22" s="64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25"/>
      <c r="BG22" s="3"/>
      <c r="BH22" s="3"/>
      <c r="BI22" s="3"/>
      <c r="BJ22" s="3"/>
    </row>
    <row r="23" spans="1:62" ht="15.75" customHeight="1" x14ac:dyDescent="0.25">
      <c r="A23" s="59" t="s">
        <v>122</v>
      </c>
      <c r="B23" s="48" t="s">
        <v>82</v>
      </c>
      <c r="C23" s="77">
        <v>16850</v>
      </c>
      <c r="D23" s="62"/>
      <c r="E23" s="62"/>
      <c r="F23" s="63"/>
      <c r="G23" s="52">
        <f t="shared" si="19"/>
        <v>0</v>
      </c>
      <c r="H23" s="52">
        <f t="shared" si="21"/>
        <v>0</v>
      </c>
      <c r="I23" s="52">
        <f t="shared" si="20"/>
        <v>0</v>
      </c>
      <c r="J23" s="42">
        <f t="shared" si="15"/>
        <v>0</v>
      </c>
      <c r="K23" s="42">
        <f t="shared" si="9"/>
        <v>0</v>
      </c>
      <c r="L23" s="42">
        <f t="shared" si="10"/>
        <v>0</v>
      </c>
      <c r="M23" s="52">
        <f t="shared" si="16"/>
        <v>16850</v>
      </c>
      <c r="N23" s="52">
        <f t="shared" si="17"/>
        <v>0</v>
      </c>
      <c r="O23" s="52">
        <f t="shared" si="18"/>
        <v>0</v>
      </c>
      <c r="P23" s="54">
        <f t="shared" si="11"/>
        <v>0</v>
      </c>
      <c r="Q23" s="54" t="e">
        <f t="shared" si="12"/>
        <v>#DIV/0!</v>
      </c>
      <c r="R23" s="54" t="e">
        <f t="shared" si="13"/>
        <v>#DIV/0!</v>
      </c>
      <c r="S23" s="50"/>
      <c r="T23" s="50"/>
      <c r="U23" s="50"/>
      <c r="V23" s="64"/>
      <c r="W23" s="64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25"/>
      <c r="BG23" s="3"/>
      <c r="BH23" s="3"/>
      <c r="BI23" s="3"/>
      <c r="BJ23" s="3"/>
    </row>
    <row r="24" spans="1:62" ht="15.75" customHeight="1" x14ac:dyDescent="0.25">
      <c r="A24" s="59" t="s">
        <v>124</v>
      </c>
      <c r="B24" s="68" t="s">
        <v>83</v>
      </c>
      <c r="C24" s="77"/>
      <c r="D24" s="62">
        <v>1800</v>
      </c>
      <c r="E24" s="62"/>
      <c r="F24" s="63"/>
      <c r="G24" s="52">
        <f t="shared" si="19"/>
        <v>0</v>
      </c>
      <c r="H24" s="52">
        <f t="shared" si="21"/>
        <v>1800</v>
      </c>
      <c r="I24" s="52">
        <f t="shared" si="20"/>
        <v>0</v>
      </c>
      <c r="J24" s="42">
        <f t="shared" si="15"/>
        <v>0</v>
      </c>
      <c r="K24" s="42">
        <f t="shared" si="9"/>
        <v>1800</v>
      </c>
      <c r="L24" s="42">
        <f t="shared" si="10"/>
        <v>0</v>
      </c>
      <c r="M24" s="52">
        <f t="shared" si="16"/>
        <v>0</v>
      </c>
      <c r="N24" s="52">
        <f t="shared" si="17"/>
        <v>0</v>
      </c>
      <c r="O24" s="52">
        <f t="shared" si="18"/>
        <v>0</v>
      </c>
      <c r="P24" s="54" t="e">
        <f t="shared" si="11"/>
        <v>#DIV/0!</v>
      </c>
      <c r="Q24" s="54">
        <f t="shared" si="12"/>
        <v>1</v>
      </c>
      <c r="R24" s="54" t="e">
        <f t="shared" si="13"/>
        <v>#DIV/0!</v>
      </c>
      <c r="S24" s="50"/>
      <c r="T24" s="71">
        <v>1800</v>
      </c>
      <c r="U24" s="50"/>
      <c r="V24" s="64"/>
      <c r="W24" s="64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25"/>
      <c r="BG24" s="3"/>
      <c r="BH24" s="3"/>
      <c r="BI24" s="3"/>
      <c r="BJ24" s="3"/>
    </row>
    <row r="25" spans="1:62" ht="15.75" customHeight="1" x14ac:dyDescent="0.25">
      <c r="A25" s="59" t="s">
        <v>122</v>
      </c>
      <c r="B25" s="68" t="s">
        <v>84</v>
      </c>
      <c r="C25" s="77">
        <f>2515+5718.85</f>
        <v>8233.85</v>
      </c>
      <c r="D25" s="62"/>
      <c r="E25" s="62"/>
      <c r="F25" s="63"/>
      <c r="G25" s="52">
        <f t="shared" si="19"/>
        <v>0</v>
      </c>
      <c r="H25" s="52">
        <f t="shared" si="21"/>
        <v>0</v>
      </c>
      <c r="I25" s="52">
        <f t="shared" si="20"/>
        <v>0</v>
      </c>
      <c r="J25" s="42">
        <f t="shared" si="15"/>
        <v>0</v>
      </c>
      <c r="K25" s="42">
        <f t="shared" si="9"/>
        <v>0</v>
      </c>
      <c r="L25" s="42">
        <f t="shared" si="10"/>
        <v>0</v>
      </c>
      <c r="M25" s="52">
        <f>C25-G25</f>
        <v>8233.85</v>
      </c>
      <c r="N25" s="52">
        <f t="shared" si="17"/>
        <v>0</v>
      </c>
      <c r="O25" s="52">
        <f t="shared" si="18"/>
        <v>0</v>
      </c>
      <c r="P25" s="54">
        <f t="shared" si="11"/>
        <v>0</v>
      </c>
      <c r="Q25" s="54" t="e">
        <f t="shared" si="12"/>
        <v>#DIV/0!</v>
      </c>
      <c r="R25" s="54" t="e">
        <f t="shared" si="13"/>
        <v>#DIV/0!</v>
      </c>
      <c r="S25" s="50"/>
      <c r="T25" s="50"/>
      <c r="U25" s="50"/>
      <c r="V25" s="64"/>
      <c r="W25" s="64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25"/>
      <c r="BG25" s="3"/>
      <c r="BH25" s="3"/>
      <c r="BI25" s="3"/>
      <c r="BJ25" s="3"/>
    </row>
    <row r="26" spans="1:62" ht="15.75" customHeight="1" x14ac:dyDescent="0.25">
      <c r="A26" s="59" t="s">
        <v>122</v>
      </c>
      <c r="B26" s="68" t="s">
        <v>85</v>
      </c>
      <c r="C26" s="77">
        <f>8367.9</f>
        <v>8367.9</v>
      </c>
      <c r="D26" s="62"/>
      <c r="E26" s="62"/>
      <c r="F26" s="63"/>
      <c r="G26" s="52">
        <f t="shared" ref="G26:G38" si="22">S26+V26+Y26+AB26+AE26+AH26+AK26+AN26+AQ26+AT26+AW26+AZ26</f>
        <v>8367.9</v>
      </c>
      <c r="H26" s="52">
        <f t="shared" si="21"/>
        <v>0</v>
      </c>
      <c r="I26" s="52">
        <f t="shared" si="20"/>
        <v>0</v>
      </c>
      <c r="J26" s="42">
        <f t="shared" si="15"/>
        <v>8367.9</v>
      </c>
      <c r="K26" s="42">
        <f t="shared" si="9"/>
        <v>0</v>
      </c>
      <c r="L26" s="42">
        <f t="shared" si="10"/>
        <v>0</v>
      </c>
      <c r="M26" s="52">
        <f t="shared" si="16"/>
        <v>0</v>
      </c>
      <c r="N26" s="52">
        <f t="shared" si="17"/>
        <v>0</v>
      </c>
      <c r="O26" s="52">
        <f t="shared" si="18"/>
        <v>0</v>
      </c>
      <c r="P26" s="54">
        <f t="shared" si="11"/>
        <v>1</v>
      </c>
      <c r="Q26" s="54" t="e">
        <f t="shared" si="12"/>
        <v>#DIV/0!</v>
      </c>
      <c r="R26" s="54" t="e">
        <f t="shared" si="13"/>
        <v>#DIV/0!</v>
      </c>
      <c r="S26" s="50"/>
      <c r="T26" s="50"/>
      <c r="U26" s="50"/>
      <c r="V26" s="64"/>
      <c r="W26" s="64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>
        <v>8367.9</v>
      </c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25"/>
      <c r="BG26" s="3"/>
      <c r="BH26" s="3"/>
      <c r="BI26" s="3"/>
      <c r="BJ26" s="3"/>
    </row>
    <row r="27" spans="1:62" ht="15.75" customHeight="1" x14ac:dyDescent="0.25">
      <c r="A27" s="59" t="s">
        <v>121</v>
      </c>
      <c r="B27" s="68" t="s">
        <v>86</v>
      </c>
      <c r="C27" s="61">
        <v>3374.7</v>
      </c>
      <c r="D27" s="62"/>
      <c r="E27" s="62"/>
      <c r="F27" s="63"/>
      <c r="G27" s="52">
        <f t="shared" si="22"/>
        <v>0</v>
      </c>
      <c r="H27" s="52">
        <f t="shared" si="21"/>
        <v>0</v>
      </c>
      <c r="I27" s="52">
        <f t="shared" si="20"/>
        <v>0</v>
      </c>
      <c r="J27" s="42">
        <f t="shared" si="15"/>
        <v>0</v>
      </c>
      <c r="K27" s="42">
        <f t="shared" si="9"/>
        <v>0</v>
      </c>
      <c r="L27" s="42">
        <f t="shared" si="10"/>
        <v>0</v>
      </c>
      <c r="M27" s="52">
        <f t="shared" si="16"/>
        <v>3374.7</v>
      </c>
      <c r="N27" s="52">
        <f t="shared" si="17"/>
        <v>0</v>
      </c>
      <c r="O27" s="52">
        <f t="shared" si="18"/>
        <v>0</v>
      </c>
      <c r="P27" s="54">
        <f t="shared" si="11"/>
        <v>0</v>
      </c>
      <c r="Q27" s="54" t="e">
        <f t="shared" si="12"/>
        <v>#DIV/0!</v>
      </c>
      <c r="R27" s="54" t="e">
        <f t="shared" si="13"/>
        <v>#DIV/0!</v>
      </c>
      <c r="S27" s="50"/>
      <c r="T27" s="50"/>
      <c r="U27" s="50"/>
      <c r="V27" s="64"/>
      <c r="W27" s="64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25"/>
      <c r="BG27" s="3"/>
      <c r="BH27" s="3"/>
      <c r="BI27" s="3"/>
      <c r="BJ27" s="3"/>
    </row>
    <row r="28" spans="1:62" ht="15.75" customHeight="1" x14ac:dyDescent="0.25">
      <c r="A28" s="59" t="s">
        <v>125</v>
      </c>
      <c r="B28" s="157" t="s">
        <v>87</v>
      </c>
      <c r="C28" s="166">
        <f>4100</f>
        <v>4100</v>
      </c>
      <c r="D28" s="62">
        <f>9000</f>
        <v>9000</v>
      </c>
      <c r="E28" s="62"/>
      <c r="F28" s="63"/>
      <c r="G28" s="52">
        <f t="shared" si="22"/>
        <v>0</v>
      </c>
      <c r="H28" s="52">
        <f t="shared" si="21"/>
        <v>9000</v>
      </c>
      <c r="I28" s="52">
        <f t="shared" si="20"/>
        <v>0</v>
      </c>
      <c r="J28" s="42">
        <f t="shared" si="15"/>
        <v>0</v>
      </c>
      <c r="K28" s="42">
        <f t="shared" si="9"/>
        <v>9000</v>
      </c>
      <c r="L28" s="42">
        <f t="shared" si="10"/>
        <v>0</v>
      </c>
      <c r="M28" s="52">
        <f t="shared" si="16"/>
        <v>4100</v>
      </c>
      <c r="N28" s="52">
        <f t="shared" si="17"/>
        <v>0</v>
      </c>
      <c r="O28" s="52">
        <f t="shared" si="18"/>
        <v>0</v>
      </c>
      <c r="P28" s="54">
        <f t="shared" si="11"/>
        <v>0</v>
      </c>
      <c r="Q28" s="54">
        <f t="shared" si="12"/>
        <v>1</v>
      </c>
      <c r="R28" s="54" t="e">
        <f t="shared" si="13"/>
        <v>#DIV/0!</v>
      </c>
      <c r="S28" s="72"/>
      <c r="T28" s="50"/>
      <c r="U28" s="50"/>
      <c r="V28" s="64"/>
      <c r="W28" s="64">
        <f>9000</f>
        <v>9000</v>
      </c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25"/>
      <c r="BG28" s="3"/>
      <c r="BH28" s="3"/>
      <c r="BI28" s="3"/>
      <c r="BJ28" s="3"/>
    </row>
    <row r="29" spans="1:62" ht="15.75" customHeight="1" x14ac:dyDescent="0.25">
      <c r="A29" s="59" t="s">
        <v>126</v>
      </c>
      <c r="B29" s="157" t="s">
        <v>88</v>
      </c>
      <c r="C29" s="61"/>
      <c r="D29" s="62">
        <f>16240+16500</f>
        <v>32740</v>
      </c>
      <c r="E29" s="62"/>
      <c r="F29" s="63"/>
      <c r="G29" s="52">
        <f t="shared" si="22"/>
        <v>0</v>
      </c>
      <c r="H29" s="52">
        <f t="shared" si="21"/>
        <v>16500</v>
      </c>
      <c r="I29" s="52">
        <f t="shared" si="20"/>
        <v>0</v>
      </c>
      <c r="J29" s="42">
        <f t="shared" si="15"/>
        <v>0</v>
      </c>
      <c r="K29" s="42">
        <f t="shared" si="9"/>
        <v>16500</v>
      </c>
      <c r="L29" s="42">
        <f t="shared" si="10"/>
        <v>0</v>
      </c>
      <c r="M29" s="52">
        <f t="shared" si="16"/>
        <v>0</v>
      </c>
      <c r="N29" s="52">
        <f t="shared" si="17"/>
        <v>16240</v>
      </c>
      <c r="O29" s="52">
        <f t="shared" si="18"/>
        <v>0</v>
      </c>
      <c r="P29" s="54" t="e">
        <f t="shared" si="11"/>
        <v>#DIV/0!</v>
      </c>
      <c r="Q29" s="54">
        <f t="shared" si="12"/>
        <v>0.50397067806963958</v>
      </c>
      <c r="R29" s="54" t="e">
        <f t="shared" si="13"/>
        <v>#DIV/0!</v>
      </c>
      <c r="S29" s="50"/>
      <c r="T29" s="50"/>
      <c r="U29" s="50"/>
      <c r="V29" s="64"/>
      <c r="W29" s="64">
        <v>16500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25"/>
      <c r="BG29" s="3"/>
      <c r="BH29" s="3"/>
      <c r="BI29" s="3"/>
      <c r="BJ29" s="3"/>
    </row>
    <row r="30" spans="1:62" ht="15.75" customHeight="1" x14ac:dyDescent="0.25">
      <c r="A30" s="59" t="s">
        <v>127</v>
      </c>
      <c r="B30" s="68" t="s">
        <v>89</v>
      </c>
      <c r="C30" s="61">
        <f>4448.55+9006.82+50813.25</f>
        <v>64268.619999999995</v>
      </c>
      <c r="D30" s="62"/>
      <c r="E30" s="62"/>
      <c r="F30" s="63"/>
      <c r="G30" s="52">
        <f t="shared" si="22"/>
        <v>13455.470000000001</v>
      </c>
      <c r="H30" s="52">
        <f t="shared" si="21"/>
        <v>0</v>
      </c>
      <c r="I30" s="52">
        <f t="shared" si="20"/>
        <v>0</v>
      </c>
      <c r="J30" s="42">
        <f t="shared" si="15"/>
        <v>13455.470000000001</v>
      </c>
      <c r="K30" s="42">
        <f t="shared" si="9"/>
        <v>0</v>
      </c>
      <c r="L30" s="42">
        <f t="shared" si="10"/>
        <v>0</v>
      </c>
      <c r="M30" s="52">
        <f t="shared" si="16"/>
        <v>50813.149999999994</v>
      </c>
      <c r="N30" s="52">
        <f t="shared" si="17"/>
        <v>0</v>
      </c>
      <c r="O30" s="52">
        <f t="shared" si="18"/>
        <v>0</v>
      </c>
      <c r="P30" s="54">
        <f t="shared" si="11"/>
        <v>0.20936298305456072</v>
      </c>
      <c r="Q30" s="54" t="e">
        <f t="shared" si="12"/>
        <v>#DIV/0!</v>
      </c>
      <c r="R30" s="54" t="e">
        <f t="shared" si="13"/>
        <v>#DIV/0!</v>
      </c>
      <c r="S30" s="50"/>
      <c r="T30" s="50"/>
      <c r="U30" s="50"/>
      <c r="V30" s="64"/>
      <c r="W30" s="64"/>
      <c r="X30" s="50"/>
      <c r="Y30" s="50"/>
      <c r="Z30" s="50"/>
      <c r="AA30" s="50"/>
      <c r="AB30" s="50"/>
      <c r="AC30" s="50"/>
      <c r="AD30" s="50"/>
      <c r="AE30" s="110">
        <f>4448.55</f>
        <v>4448.55</v>
      </c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132">
        <v>9006.92</v>
      </c>
      <c r="BA30" s="50"/>
      <c r="BB30" s="50"/>
      <c r="BC30" s="50"/>
      <c r="BD30" s="50"/>
      <c r="BE30" s="50"/>
      <c r="BF30" s="25"/>
      <c r="BG30" s="3"/>
      <c r="BH30" s="3"/>
      <c r="BI30" s="3"/>
      <c r="BJ30" s="3"/>
    </row>
    <row r="31" spans="1:62" ht="15.75" x14ac:dyDescent="0.25">
      <c r="A31" s="59" t="s">
        <v>118</v>
      </c>
      <c r="B31" s="68" t="s">
        <v>186</v>
      </c>
      <c r="C31" s="61">
        <f>468.9+166.72+1708.88</f>
        <v>2344.5</v>
      </c>
      <c r="D31" s="62">
        <f>288.24</f>
        <v>288.24</v>
      </c>
      <c r="E31" s="62"/>
      <c r="F31" s="63"/>
      <c r="G31" s="52">
        <f>S31+V31+Y31+AB31+AE31+AH31+AK31+AN31+AQ31+AT31+AW31+AZ31</f>
        <v>920.48</v>
      </c>
      <c r="H31" s="52">
        <f>T31+W31+Z31+AC31+AF31+AI31+AL31+AO31+AR31+AU31+AX31+BA31</f>
        <v>288.24</v>
      </c>
      <c r="I31" s="52">
        <f t="shared" si="20"/>
        <v>0</v>
      </c>
      <c r="J31" s="42">
        <f t="shared" si="15"/>
        <v>920.48</v>
      </c>
      <c r="K31" s="42">
        <f t="shared" si="9"/>
        <v>288.24</v>
      </c>
      <c r="L31" s="42">
        <f t="shared" si="10"/>
        <v>0</v>
      </c>
      <c r="M31" s="52">
        <f t="shared" si="16"/>
        <v>1424.02</v>
      </c>
      <c r="N31" s="52">
        <f t="shared" si="17"/>
        <v>0</v>
      </c>
      <c r="O31" s="52">
        <f t="shared" si="18"/>
        <v>0</v>
      </c>
      <c r="P31" s="54">
        <f t="shared" si="11"/>
        <v>0.39261249733418641</v>
      </c>
      <c r="Q31" s="54">
        <f t="shared" si="12"/>
        <v>1</v>
      </c>
      <c r="R31" s="54" t="e">
        <f t="shared" si="13"/>
        <v>#DIV/0!</v>
      </c>
      <c r="S31" s="50"/>
      <c r="T31" s="50"/>
      <c r="U31" s="50"/>
      <c r="V31" s="50">
        <f>462</f>
        <v>462</v>
      </c>
      <c r="W31" s="50">
        <v>288.24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>
        <f>166.72</f>
        <v>166.72</v>
      </c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>
        <v>291.76</v>
      </c>
      <c r="AX31" s="50"/>
      <c r="AY31" s="50"/>
      <c r="AZ31" s="50"/>
      <c r="BA31" s="50"/>
      <c r="BB31" s="50"/>
      <c r="BC31" s="50"/>
      <c r="BD31" s="50"/>
      <c r="BE31" s="50"/>
      <c r="BF31" s="25"/>
      <c r="BG31" s="3"/>
      <c r="BH31" s="3"/>
      <c r="BI31" s="3"/>
      <c r="BJ31" s="3"/>
    </row>
    <row r="32" spans="1:62" ht="15.75" x14ac:dyDescent="0.25">
      <c r="A32" s="59" t="s">
        <v>128</v>
      </c>
      <c r="B32" s="68" t="s">
        <v>178</v>
      </c>
      <c r="C32" s="77">
        <v>1000</v>
      </c>
      <c r="D32" s="62"/>
      <c r="E32" s="62"/>
      <c r="F32" s="63"/>
      <c r="G32" s="52">
        <f t="shared" si="22"/>
        <v>423.54</v>
      </c>
      <c r="H32" s="52">
        <f t="shared" si="21"/>
        <v>0</v>
      </c>
      <c r="I32" s="52">
        <f t="shared" si="20"/>
        <v>0</v>
      </c>
      <c r="J32" s="42">
        <f t="shared" si="15"/>
        <v>423.54</v>
      </c>
      <c r="K32" s="42">
        <f t="shared" si="9"/>
        <v>0</v>
      </c>
      <c r="L32" s="42">
        <f t="shared" si="10"/>
        <v>0</v>
      </c>
      <c r="M32" s="52">
        <f t="shared" si="16"/>
        <v>576.46</v>
      </c>
      <c r="N32" s="52">
        <f t="shared" si="17"/>
        <v>0</v>
      </c>
      <c r="O32" s="52">
        <f t="shared" si="18"/>
        <v>0</v>
      </c>
      <c r="P32" s="54">
        <f t="shared" si="11"/>
        <v>0.42354000000000003</v>
      </c>
      <c r="Q32" s="54" t="e">
        <f t="shared" si="12"/>
        <v>#DIV/0!</v>
      </c>
      <c r="R32" s="54" t="e">
        <f t="shared" si="13"/>
        <v>#DIV/0!</v>
      </c>
      <c r="S32" s="50"/>
      <c r="T32" s="50"/>
      <c r="U32" s="50"/>
      <c r="V32" s="64"/>
      <c r="W32" s="64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>
        <v>423.54</v>
      </c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25"/>
      <c r="BG32" s="3"/>
      <c r="BH32" s="3"/>
      <c r="BI32" s="3"/>
      <c r="BJ32" s="3"/>
    </row>
    <row r="33" spans="1:62" ht="15.75" x14ac:dyDescent="0.25">
      <c r="A33" s="59" t="s">
        <v>129</v>
      </c>
      <c r="B33" s="68" t="s">
        <v>187</v>
      </c>
      <c r="C33" s="77">
        <f>5000</f>
        <v>5000</v>
      </c>
      <c r="D33" s="62"/>
      <c r="E33" s="62"/>
      <c r="F33" s="63"/>
      <c r="G33" s="52">
        <f t="shared" si="22"/>
        <v>5000</v>
      </c>
      <c r="H33" s="52">
        <f t="shared" si="21"/>
        <v>0</v>
      </c>
      <c r="I33" s="52">
        <f t="shared" si="20"/>
        <v>0</v>
      </c>
      <c r="J33" s="42">
        <f t="shared" si="15"/>
        <v>5000</v>
      </c>
      <c r="K33" s="42">
        <f t="shared" si="9"/>
        <v>0</v>
      </c>
      <c r="L33" s="42">
        <f t="shared" si="10"/>
        <v>0</v>
      </c>
      <c r="M33" s="52">
        <f t="shared" si="16"/>
        <v>0</v>
      </c>
      <c r="N33" s="52">
        <f t="shared" si="17"/>
        <v>0</v>
      </c>
      <c r="O33" s="52">
        <f t="shared" si="18"/>
        <v>0</v>
      </c>
      <c r="P33" s="54">
        <f t="shared" si="11"/>
        <v>1</v>
      </c>
      <c r="Q33" s="54" t="e">
        <f t="shared" si="12"/>
        <v>#DIV/0!</v>
      </c>
      <c r="R33" s="54" t="e">
        <f t="shared" si="13"/>
        <v>#DIV/0!</v>
      </c>
      <c r="S33" s="50"/>
      <c r="T33" s="50"/>
      <c r="U33" s="50"/>
      <c r="V33" s="64"/>
      <c r="W33" s="64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>
        <v>5000</v>
      </c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25"/>
      <c r="BG33" s="3"/>
      <c r="BH33" s="3"/>
      <c r="BI33" s="3"/>
      <c r="BJ33" s="3"/>
    </row>
    <row r="34" spans="1:62" ht="15.75" x14ac:dyDescent="0.25">
      <c r="A34" s="59" t="s">
        <v>130</v>
      </c>
      <c r="B34" s="68" t="s">
        <v>188</v>
      </c>
      <c r="C34" s="77">
        <f>70383</f>
        <v>70383</v>
      </c>
      <c r="D34" s="62">
        <f>892.6+1440.9+174+348+362.4+527.8</f>
        <v>3745.7</v>
      </c>
      <c r="E34" s="62"/>
      <c r="F34" s="63">
        <v>51880</v>
      </c>
      <c r="G34" s="52">
        <f t="shared" si="22"/>
        <v>0</v>
      </c>
      <c r="H34" s="52">
        <f t="shared" si="21"/>
        <v>3383.3</v>
      </c>
      <c r="I34" s="52">
        <f t="shared" si="20"/>
        <v>40000</v>
      </c>
      <c r="J34" s="42">
        <f t="shared" si="15"/>
        <v>0</v>
      </c>
      <c r="K34" s="42">
        <f t="shared" si="9"/>
        <v>3383.3</v>
      </c>
      <c r="L34" s="42">
        <f t="shared" si="10"/>
        <v>40000</v>
      </c>
      <c r="M34" s="52">
        <f t="shared" si="16"/>
        <v>70383</v>
      </c>
      <c r="N34" s="52">
        <f t="shared" si="17"/>
        <v>362.39999999999964</v>
      </c>
      <c r="O34" s="52">
        <f t="shared" si="18"/>
        <v>11880</v>
      </c>
      <c r="P34" s="54">
        <f t="shared" si="11"/>
        <v>0</v>
      </c>
      <c r="Q34" s="54">
        <f t="shared" si="12"/>
        <v>0.90324905892089602</v>
      </c>
      <c r="R34" s="54">
        <f t="shared" si="13"/>
        <v>0.77101002313030065</v>
      </c>
      <c r="S34" s="50"/>
      <c r="T34" s="50">
        <f>174+527.8</f>
        <v>701.8</v>
      </c>
      <c r="U34" s="50"/>
      <c r="V34" s="64"/>
      <c r="W34" s="64">
        <f>892.6</f>
        <v>892.6</v>
      </c>
      <c r="X34" s="50"/>
      <c r="Y34" s="50"/>
      <c r="Z34" s="50">
        <f>1440.9</f>
        <v>1440.9</v>
      </c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>
        <v>348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>
        <v>40000</v>
      </c>
      <c r="BC34" s="50"/>
      <c r="BD34" s="50"/>
      <c r="BE34" s="50"/>
      <c r="BF34" s="25"/>
      <c r="BG34" s="3"/>
      <c r="BH34" s="3"/>
      <c r="BI34" s="3"/>
      <c r="BJ34" s="3"/>
    </row>
    <row r="35" spans="1:62" ht="15.75" x14ac:dyDescent="0.25">
      <c r="A35" s="59" t="s">
        <v>130</v>
      </c>
      <c r="B35" s="68" t="s">
        <v>90</v>
      </c>
      <c r="C35" s="77">
        <f>1817.8+4022.53+2567.5</f>
        <v>8407.83</v>
      </c>
      <c r="D35" s="62"/>
      <c r="E35" s="62"/>
      <c r="F35" s="63"/>
      <c r="G35" s="52">
        <f t="shared" si="22"/>
        <v>0</v>
      </c>
      <c r="H35" s="52">
        <f t="shared" si="21"/>
        <v>0</v>
      </c>
      <c r="I35" s="52">
        <f t="shared" si="20"/>
        <v>0</v>
      </c>
      <c r="J35" s="42">
        <f t="shared" si="15"/>
        <v>0</v>
      </c>
      <c r="K35" s="42">
        <f t="shared" si="9"/>
        <v>0</v>
      </c>
      <c r="L35" s="42">
        <f t="shared" si="10"/>
        <v>0</v>
      </c>
      <c r="M35" s="52">
        <f t="shared" si="16"/>
        <v>8407.83</v>
      </c>
      <c r="N35" s="52">
        <f t="shared" si="17"/>
        <v>0</v>
      </c>
      <c r="O35" s="52">
        <f t="shared" si="18"/>
        <v>0</v>
      </c>
      <c r="P35" s="54">
        <f t="shared" si="11"/>
        <v>0</v>
      </c>
      <c r="Q35" s="54" t="e">
        <f t="shared" si="12"/>
        <v>#DIV/0!</v>
      </c>
      <c r="R35" s="54" t="e">
        <f t="shared" si="13"/>
        <v>#DIV/0!</v>
      </c>
      <c r="S35" s="50"/>
      <c r="T35" s="50"/>
      <c r="U35" s="50"/>
      <c r="V35" s="64"/>
      <c r="W35" s="64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25"/>
      <c r="BG35" s="3"/>
      <c r="BH35" s="3"/>
      <c r="BI35" s="3"/>
      <c r="BJ35" s="3"/>
    </row>
    <row r="36" spans="1:62" ht="15.75" x14ac:dyDescent="0.25">
      <c r="A36" s="59" t="s">
        <v>130</v>
      </c>
      <c r="B36" s="68" t="s">
        <v>107</v>
      </c>
      <c r="C36" s="76">
        <f>2343.6+1407+1824.36+1180+1738.98+4775+732.84+695.92+1000.09+473.52+82.62+449.84+316.32+376.89+283.65+713-15.9+1256.9+232.23+740+2085.83+610.54+5397.1+1064.9+1006.2+186.96+3838.66+4740</f>
        <v>39537.050000000003</v>
      </c>
      <c r="D36" s="62">
        <f>413+1266+3806.39</f>
        <v>5485.3899999999994</v>
      </c>
      <c r="E36" s="62"/>
      <c r="F36" s="63"/>
      <c r="G36" s="52">
        <f t="shared" si="22"/>
        <v>25888</v>
      </c>
      <c r="H36" s="52">
        <f t="shared" si="21"/>
        <v>0</v>
      </c>
      <c r="I36" s="52">
        <f t="shared" si="20"/>
        <v>0</v>
      </c>
      <c r="J36" s="42">
        <f t="shared" si="15"/>
        <v>25888</v>
      </c>
      <c r="K36" s="42">
        <f t="shared" si="9"/>
        <v>0</v>
      </c>
      <c r="L36" s="42">
        <f t="shared" si="10"/>
        <v>0</v>
      </c>
      <c r="M36" s="52">
        <f t="shared" si="16"/>
        <v>13649.050000000003</v>
      </c>
      <c r="N36" s="52">
        <f t="shared" si="17"/>
        <v>5485.3899999999994</v>
      </c>
      <c r="O36" s="52">
        <f t="shared" si="18"/>
        <v>0</v>
      </c>
      <c r="P36" s="54">
        <f t="shared" si="11"/>
        <v>0.65477823965116255</v>
      </c>
      <c r="Q36" s="54">
        <f t="shared" si="12"/>
        <v>0</v>
      </c>
      <c r="R36" s="54" t="e">
        <f t="shared" si="13"/>
        <v>#DIV/0!</v>
      </c>
      <c r="S36" s="73"/>
      <c r="T36" s="50"/>
      <c r="U36" s="73"/>
      <c r="V36" s="74"/>
      <c r="W36" s="74"/>
      <c r="X36" s="73"/>
      <c r="Y36" s="73"/>
      <c r="Z36" s="73"/>
      <c r="AA36" s="73"/>
      <c r="AB36" s="73">
        <v>2343.6</v>
      </c>
      <c r="AC36" s="73"/>
      <c r="AD36" s="73"/>
      <c r="AE36" s="73">
        <v>1738.98</v>
      </c>
      <c r="AF36" s="73"/>
      <c r="AG36" s="73"/>
      <c r="AH36" s="73">
        <f>4775+732.84+82.62+1824.36</f>
        <v>7414.82</v>
      </c>
      <c r="AI36" s="73"/>
      <c r="AJ36" s="73"/>
      <c r="AK36" s="73">
        <f>449.84+713+984.19+1407</f>
        <v>3554.0299999999997</v>
      </c>
      <c r="AL36" s="73"/>
      <c r="AM36" s="73"/>
      <c r="AN36" s="73">
        <f>473.52+1180+316.32</f>
        <v>1969.84</v>
      </c>
      <c r="AO36" s="73"/>
      <c r="AP36" s="73"/>
      <c r="AQ36" s="73">
        <v>695.92</v>
      </c>
      <c r="AR36" s="73"/>
      <c r="AS36" s="73"/>
      <c r="AT36" s="73">
        <f>283.65+2567.5</f>
        <v>2851.15</v>
      </c>
      <c r="AU36" s="73"/>
      <c r="AV36" s="73"/>
      <c r="AW36" s="73">
        <v>4022.53</v>
      </c>
      <c r="AX36" s="73"/>
      <c r="AY36" s="73"/>
      <c r="AZ36" s="73">
        <f>232.23+1064.9</f>
        <v>1297.1300000000001</v>
      </c>
      <c r="BA36" s="73"/>
      <c r="BB36" s="73"/>
      <c r="BC36" s="50"/>
      <c r="BD36" s="50"/>
      <c r="BE36" s="50"/>
      <c r="BF36" s="25"/>
      <c r="BG36" s="3"/>
      <c r="BH36" s="3"/>
      <c r="BI36" s="3"/>
      <c r="BJ36" s="3"/>
    </row>
    <row r="37" spans="1:62" ht="15.75" customHeight="1" x14ac:dyDescent="0.25">
      <c r="A37" s="59" t="s">
        <v>131</v>
      </c>
      <c r="B37" s="68" t="s">
        <v>189</v>
      </c>
      <c r="C37" s="61"/>
      <c r="D37" s="62"/>
      <c r="E37" s="62"/>
      <c r="F37" s="63"/>
      <c r="G37" s="52">
        <f t="shared" si="22"/>
        <v>0</v>
      </c>
      <c r="H37" s="52">
        <f>W37+Z37+AC37+AF37+AI37+AL37+AO37+AR37+AU37+AX37+BA37</f>
        <v>0</v>
      </c>
      <c r="I37" s="52">
        <f t="shared" si="20"/>
        <v>0</v>
      </c>
      <c r="J37" s="42">
        <f t="shared" si="15"/>
        <v>0</v>
      </c>
      <c r="K37" s="42">
        <f>IF(BD37=0,SUM(T96+W37+Z37+AC37+AF37+AI37+AL37+AO37+AR37+AU37+AX37+BA37),BD37)</f>
        <v>412.5</v>
      </c>
      <c r="L37" s="42">
        <f t="shared" si="10"/>
        <v>0</v>
      </c>
      <c r="M37" s="52">
        <f t="shared" si="16"/>
        <v>0</v>
      </c>
      <c r="N37" s="52">
        <f t="shared" si="17"/>
        <v>0</v>
      </c>
      <c r="O37" s="52">
        <f t="shared" si="18"/>
        <v>0</v>
      </c>
      <c r="P37" s="54" t="e">
        <f t="shared" si="11"/>
        <v>#DIV/0!</v>
      </c>
      <c r="Q37" s="54" t="e">
        <f t="shared" si="12"/>
        <v>#DIV/0!</v>
      </c>
      <c r="R37" s="54" t="e">
        <f t="shared" si="13"/>
        <v>#DIV/0!</v>
      </c>
      <c r="S37" s="73"/>
      <c r="T37" s="67"/>
      <c r="U37" s="73"/>
      <c r="V37" s="64"/>
      <c r="W37" s="64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50"/>
      <c r="BD37" s="50"/>
      <c r="BE37" s="50"/>
      <c r="BF37" s="25"/>
      <c r="BG37" s="3"/>
      <c r="BH37" s="3"/>
      <c r="BI37" s="3"/>
      <c r="BJ37" s="3"/>
    </row>
    <row r="38" spans="1:62" s="162" customFormat="1" ht="15.75" customHeight="1" x14ac:dyDescent="0.25">
      <c r="A38" s="59"/>
      <c r="B38" s="75" t="s">
        <v>169</v>
      </c>
      <c r="C38" s="61">
        <v>30000</v>
      </c>
      <c r="D38" s="62"/>
      <c r="E38" s="62"/>
      <c r="F38" s="63"/>
      <c r="G38" s="52">
        <f t="shared" si="22"/>
        <v>0</v>
      </c>
      <c r="H38" s="52">
        <f>W38+Z38+AC38+AF38+AI38+AL38+AO38+AR38+AU38+AX38+BA38</f>
        <v>0</v>
      </c>
      <c r="I38" s="52">
        <f t="shared" si="20"/>
        <v>0</v>
      </c>
      <c r="J38" s="42">
        <f t="shared" si="15"/>
        <v>0</v>
      </c>
      <c r="K38" s="42">
        <f>IF(BD38=0,SUM(T97+W38+Z38+AC38+AF38+AI38+AL38+AO38+AR38+AU38+AX38+BA38),BD38)</f>
        <v>0</v>
      </c>
      <c r="L38" s="42">
        <f t="shared" si="10"/>
        <v>0</v>
      </c>
      <c r="M38" s="52">
        <f t="shared" si="16"/>
        <v>30000</v>
      </c>
      <c r="N38" s="52">
        <f t="shared" si="17"/>
        <v>0</v>
      </c>
      <c r="O38" s="52">
        <f t="shared" si="18"/>
        <v>0</v>
      </c>
      <c r="P38" s="54">
        <f t="shared" si="11"/>
        <v>0</v>
      </c>
      <c r="Q38" s="54" t="e">
        <f t="shared" si="12"/>
        <v>#DIV/0!</v>
      </c>
      <c r="R38" s="54" t="e">
        <f t="shared" si="13"/>
        <v>#DIV/0!</v>
      </c>
      <c r="S38" s="73"/>
      <c r="T38" s="67"/>
      <c r="U38" s="73"/>
      <c r="V38" s="64"/>
      <c r="W38" s="64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50"/>
      <c r="BD38" s="50"/>
      <c r="BE38" s="50"/>
      <c r="BF38" s="25"/>
      <c r="BG38" s="3"/>
      <c r="BH38" s="3"/>
      <c r="BI38" s="3"/>
      <c r="BJ38" s="3"/>
    </row>
    <row r="39" spans="1:62" ht="15.75" customHeight="1" x14ac:dyDescent="0.25">
      <c r="A39" s="59" t="s">
        <v>132</v>
      </c>
      <c r="B39" s="75" t="s">
        <v>190</v>
      </c>
      <c r="C39" s="61"/>
      <c r="D39" s="62">
        <v>823388.88</v>
      </c>
      <c r="E39" s="62"/>
      <c r="F39" s="63">
        <f>90737.45+158523.77</f>
        <v>249261.21999999997</v>
      </c>
      <c r="G39" s="52">
        <f t="shared" ref="G39:H45" si="23">S39+V39+Y39+AB39+AE39+AH39+AK39+AN39+AQ39+AT39+AW39+AZ39</f>
        <v>0</v>
      </c>
      <c r="H39" s="52">
        <f t="shared" si="23"/>
        <v>823388.88000000012</v>
      </c>
      <c r="I39" s="52">
        <f t="shared" ref="G39:I49" si="24">U39+X39+AA39+AD39+AG39+AJ39+AM39+AP39+AS39+AV39+AY39+BB39</f>
        <v>227162.83000000002</v>
      </c>
      <c r="J39" s="42">
        <f t="shared" si="15"/>
        <v>0</v>
      </c>
      <c r="K39" s="42">
        <f>IF(BD39=0,SUM(T39+W39+Z39+AC39+AF39+AI39+AL39+AO39+AR39+AU39+AX39+BA39),BD39)</f>
        <v>823388.88000000012</v>
      </c>
      <c r="L39" s="42">
        <f t="shared" si="10"/>
        <v>227162.83000000002</v>
      </c>
      <c r="M39" s="52">
        <f t="shared" si="16"/>
        <v>0</v>
      </c>
      <c r="N39" s="52">
        <f t="shared" si="17"/>
        <v>0</v>
      </c>
      <c r="O39" s="52">
        <f t="shared" si="18"/>
        <v>22098.389999999956</v>
      </c>
      <c r="P39" s="54" t="e">
        <f t="shared" si="11"/>
        <v>#DIV/0!</v>
      </c>
      <c r="Q39" s="54">
        <f t="shared" si="12"/>
        <v>1.0000000000000002</v>
      </c>
      <c r="R39" s="54">
        <f t="shared" si="13"/>
        <v>0.9113444522176376</v>
      </c>
      <c r="S39" s="73"/>
      <c r="T39" s="50"/>
      <c r="U39" s="73"/>
      <c r="V39" s="64"/>
      <c r="W39" s="64"/>
      <c r="X39" s="73"/>
      <c r="Y39" s="73"/>
      <c r="Z39" s="73">
        <v>115981.88</v>
      </c>
      <c r="AA39" s="73"/>
      <c r="AB39" s="73"/>
      <c r="AC39" s="73">
        <f>70706.47+34733.44</f>
        <v>105439.91</v>
      </c>
      <c r="AD39" s="73"/>
      <c r="AE39" s="73"/>
      <c r="AF39" s="73">
        <f>79149.79</f>
        <v>79149.789999999994</v>
      </c>
      <c r="AG39" s="73"/>
      <c r="AH39" s="73"/>
      <c r="AI39" s="73">
        <v>87530.63</v>
      </c>
      <c r="AJ39" s="73"/>
      <c r="AK39" s="73"/>
      <c r="AL39" s="73">
        <v>144839.69</v>
      </c>
      <c r="AM39" s="73"/>
      <c r="AN39" s="73"/>
      <c r="AO39" s="73">
        <v>71117.53</v>
      </c>
      <c r="AP39" s="73"/>
      <c r="AR39" s="73">
        <v>116730.63</v>
      </c>
      <c r="AS39" s="73"/>
      <c r="AT39" s="73"/>
      <c r="AU39" s="73"/>
      <c r="AV39" s="73">
        <f>125861.28</f>
        <v>125861.28</v>
      </c>
      <c r="AW39" s="73"/>
      <c r="AX39" s="73">
        <v>65214.29</v>
      </c>
      <c r="AY39" s="73"/>
      <c r="AZ39" s="73"/>
      <c r="BA39" s="73">
        <v>37384.53</v>
      </c>
      <c r="BB39" s="73">
        <f>32662.47+68639.08</f>
        <v>101301.55</v>
      </c>
      <c r="BC39" s="50"/>
      <c r="BD39" s="50"/>
      <c r="BE39" s="50"/>
      <c r="BF39" s="25"/>
      <c r="BG39" s="3"/>
      <c r="BH39" s="3"/>
      <c r="BI39" s="3"/>
      <c r="BJ39" s="3"/>
    </row>
    <row r="40" spans="1:62" s="164" customFormat="1" ht="15.75" customHeight="1" x14ac:dyDescent="0.25">
      <c r="A40" s="59" t="s">
        <v>132</v>
      </c>
      <c r="B40" s="75" t="s">
        <v>191</v>
      </c>
      <c r="C40" s="166">
        <v>62808.480000000003</v>
      </c>
      <c r="D40" s="62"/>
      <c r="E40" s="62"/>
      <c r="F40" s="63"/>
      <c r="G40" s="52">
        <f t="shared" si="23"/>
        <v>62808.480000000003</v>
      </c>
      <c r="H40" s="52">
        <f t="shared" si="23"/>
        <v>0</v>
      </c>
      <c r="I40" s="52">
        <f t="shared" si="24"/>
        <v>0</v>
      </c>
      <c r="J40" s="42">
        <f t="shared" si="15"/>
        <v>62808.480000000003</v>
      </c>
      <c r="K40" s="42">
        <f>IF(BD40=0,SUM(T98+W40+Z40+AC40+AF40+AI40+AL40+AO40+AR40+AU40+AX40+BA40),BD40)</f>
        <v>0</v>
      </c>
      <c r="L40" s="42">
        <f t="shared" si="10"/>
        <v>0</v>
      </c>
      <c r="M40" s="52">
        <f t="shared" si="16"/>
        <v>0</v>
      </c>
      <c r="N40" s="52">
        <f t="shared" si="17"/>
        <v>0</v>
      </c>
      <c r="O40" s="52">
        <f t="shared" si="18"/>
        <v>0</v>
      </c>
      <c r="P40" s="54">
        <f t="shared" si="11"/>
        <v>1</v>
      </c>
      <c r="Q40" s="54" t="e">
        <f t="shared" si="12"/>
        <v>#DIV/0!</v>
      </c>
      <c r="R40" s="54" t="e">
        <f t="shared" si="13"/>
        <v>#DIV/0!</v>
      </c>
      <c r="S40" s="73"/>
      <c r="T40" s="50"/>
      <c r="U40" s="73"/>
      <c r="V40" s="64"/>
      <c r="W40" s="64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R40" s="73"/>
      <c r="AS40" s="73"/>
      <c r="AT40" s="73"/>
      <c r="AU40" s="73"/>
      <c r="AV40" s="73"/>
      <c r="AW40" s="73"/>
      <c r="AX40" s="73"/>
      <c r="AY40" s="73"/>
      <c r="AZ40" s="73">
        <v>62808.480000000003</v>
      </c>
      <c r="BA40" s="73"/>
      <c r="BB40" s="73"/>
      <c r="BC40" s="50"/>
      <c r="BD40" s="50"/>
      <c r="BE40" s="50"/>
      <c r="BF40" s="25"/>
      <c r="BG40" s="3"/>
      <c r="BH40" s="3"/>
      <c r="BI40" s="3"/>
      <c r="BJ40" s="3"/>
    </row>
    <row r="41" spans="1:62" s="20" customFormat="1" ht="15.75" customHeight="1" x14ac:dyDescent="0.25">
      <c r="A41" s="59" t="s">
        <v>132</v>
      </c>
      <c r="B41" s="68" t="s">
        <v>192</v>
      </c>
      <c r="C41" s="77">
        <f>83705.49</f>
        <v>83705.490000000005</v>
      </c>
      <c r="D41" s="62">
        <v>476983.69</v>
      </c>
      <c r="E41" s="62"/>
      <c r="F41" s="77">
        <f>37013.43</f>
        <v>37013.43</v>
      </c>
      <c r="G41" s="52">
        <f t="shared" si="23"/>
        <v>70650.260000000009</v>
      </c>
      <c r="H41" s="52">
        <f t="shared" si="23"/>
        <v>434780.33999999997</v>
      </c>
      <c r="I41" s="52">
        <f t="shared" si="24"/>
        <v>0</v>
      </c>
      <c r="J41" s="42">
        <f>IF(BC41=0,SUM(S41+V41+Y41+AB41+AE41+AH41+AK41+AN41+AQ41+AT41+AW41+AZ41),BC41)</f>
        <v>70650.260000000009</v>
      </c>
      <c r="K41" s="42">
        <f>IF(BD41=0,SUM(T101+W41+Z41+AC41+AF41+AI41+AL41+AO41+AR41+AU41+AX41+BA41),BD41)</f>
        <v>434780.33999999997</v>
      </c>
      <c r="L41" s="42">
        <f t="shared" si="10"/>
        <v>0</v>
      </c>
      <c r="M41" s="52">
        <f>C41-G41</f>
        <v>13055.229999999996</v>
      </c>
      <c r="N41" s="52">
        <f t="shared" si="17"/>
        <v>42203.350000000035</v>
      </c>
      <c r="O41" s="52">
        <f t="shared" si="18"/>
        <v>37013.43</v>
      </c>
      <c r="P41" s="54">
        <f t="shared" si="11"/>
        <v>0.84403376648293926</v>
      </c>
      <c r="Q41" s="54">
        <f t="shared" si="12"/>
        <v>0.91152034988869324</v>
      </c>
      <c r="R41" s="54">
        <f t="shared" si="13"/>
        <v>0</v>
      </c>
      <c r="S41" s="73"/>
      <c r="T41" s="50"/>
      <c r="U41" s="73"/>
      <c r="V41" s="64"/>
      <c r="W41" s="64"/>
      <c r="X41" s="73"/>
      <c r="Y41" s="73"/>
      <c r="Z41" s="73">
        <f>61438.46</f>
        <v>61438.46</v>
      </c>
      <c r="AA41" s="73"/>
      <c r="AB41" s="73"/>
      <c r="AC41" s="73">
        <f>48772.93</f>
        <v>48772.93</v>
      </c>
      <c r="AD41" s="73"/>
      <c r="AE41" s="73"/>
      <c r="AF41" s="73">
        <v>37025.279999999999</v>
      </c>
      <c r="AG41" s="73"/>
      <c r="AH41" s="73"/>
      <c r="AI41" s="73">
        <v>46046.57</v>
      </c>
      <c r="AJ41" s="73"/>
      <c r="AK41" s="73"/>
      <c r="AL41" s="73">
        <v>73066.929999999993</v>
      </c>
      <c r="AM41" s="73"/>
      <c r="AN41" s="73"/>
      <c r="AO41" s="73">
        <f>87286.56</f>
        <v>87286.56</v>
      </c>
      <c r="AP41" s="73"/>
      <c r="AQ41" s="73">
        <v>24493.47</v>
      </c>
      <c r="AR41" s="73">
        <f>25241.97+196.38</f>
        <v>25438.350000000002</v>
      </c>
      <c r="AS41" s="73"/>
      <c r="AT41" s="73"/>
      <c r="AU41" s="73"/>
      <c r="AV41" s="73"/>
      <c r="AW41" s="73"/>
      <c r="AX41" s="73">
        <f>17570.74+33113.58</f>
        <v>50684.320000000007</v>
      </c>
      <c r="AY41" s="73"/>
      <c r="AZ41" s="73">
        <v>46156.79</v>
      </c>
      <c r="BA41" s="73">
        <v>5020.9399999999996</v>
      </c>
      <c r="BB41" s="73"/>
      <c r="BC41" s="50"/>
      <c r="BD41" s="50"/>
      <c r="BE41" s="50"/>
      <c r="BF41" s="25"/>
      <c r="BG41" s="3"/>
      <c r="BH41" s="3"/>
      <c r="BI41" s="3"/>
      <c r="BJ41" s="3"/>
    </row>
    <row r="42" spans="1:62" s="164" customFormat="1" ht="15.75" customHeight="1" x14ac:dyDescent="0.25">
      <c r="A42" s="59" t="s">
        <v>132</v>
      </c>
      <c r="B42" s="68" t="s">
        <v>192</v>
      </c>
      <c r="C42" s="175">
        <v>3826.8</v>
      </c>
      <c r="D42" s="62"/>
      <c r="E42" s="62"/>
      <c r="F42" s="77">
        <f>6782.31-3826.8</f>
        <v>2955.51</v>
      </c>
      <c r="G42" s="52">
        <f t="shared" si="23"/>
        <v>0</v>
      </c>
      <c r="H42" s="52">
        <f t="shared" si="23"/>
        <v>0</v>
      </c>
      <c r="I42" s="52">
        <f t="shared" si="24"/>
        <v>0</v>
      </c>
      <c r="J42" s="42">
        <f t="shared" si="15"/>
        <v>0</v>
      </c>
      <c r="K42" s="42">
        <f>IF(BD42=0,SUM(T102+W42+Z42+AC42+AF42+AI42+AL42+AO42+AR42+AU42+AX42+BA42),BD42)</f>
        <v>0</v>
      </c>
      <c r="L42" s="42">
        <f t="shared" si="10"/>
        <v>0</v>
      </c>
      <c r="M42" s="52">
        <f t="shared" si="16"/>
        <v>3826.8</v>
      </c>
      <c r="N42" s="52">
        <f t="shared" si="17"/>
        <v>0</v>
      </c>
      <c r="O42" s="52">
        <f t="shared" si="18"/>
        <v>2955.51</v>
      </c>
      <c r="P42" s="54">
        <f t="shared" si="11"/>
        <v>0</v>
      </c>
      <c r="Q42" s="54" t="e">
        <f t="shared" si="12"/>
        <v>#DIV/0!</v>
      </c>
      <c r="R42" s="54">
        <f t="shared" si="13"/>
        <v>0</v>
      </c>
      <c r="S42" s="73"/>
      <c r="T42" s="50"/>
      <c r="U42" s="73"/>
      <c r="V42" s="64"/>
      <c r="W42" s="64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50"/>
      <c r="BD42" s="50"/>
      <c r="BE42" s="50"/>
      <c r="BF42" s="25"/>
      <c r="BG42" s="3"/>
      <c r="BH42" s="3"/>
      <c r="BI42" s="3"/>
      <c r="BJ42" s="3"/>
    </row>
    <row r="43" spans="1:62" s="165" customFormat="1" ht="15.75" customHeight="1" x14ac:dyDescent="0.25">
      <c r="A43" s="59" t="s">
        <v>132</v>
      </c>
      <c r="B43" s="68" t="s">
        <v>193</v>
      </c>
      <c r="C43" s="175">
        <v>46434.84</v>
      </c>
      <c r="D43" s="62"/>
      <c r="E43" s="62"/>
      <c r="F43" s="63">
        <v>572638.78</v>
      </c>
      <c r="G43" s="52">
        <f t="shared" si="23"/>
        <v>0</v>
      </c>
      <c r="H43" s="52">
        <f t="shared" si="23"/>
        <v>0</v>
      </c>
      <c r="I43" s="52">
        <f t="shared" si="24"/>
        <v>0</v>
      </c>
      <c r="J43" s="42">
        <f t="shared" si="15"/>
        <v>0</v>
      </c>
      <c r="K43" s="42">
        <f>IF(BD43=0,SUM(T103+W43+Z43+AC43+AF43+AI43+AL43+AO43+AR43+AU43+AX43+BA43),BD43)</f>
        <v>0</v>
      </c>
      <c r="L43" s="42">
        <f t="shared" si="10"/>
        <v>0</v>
      </c>
      <c r="M43" s="52">
        <f t="shared" si="16"/>
        <v>46434.84</v>
      </c>
      <c r="N43" s="52">
        <f t="shared" si="17"/>
        <v>0</v>
      </c>
      <c r="O43" s="52">
        <f t="shared" si="18"/>
        <v>572638.78</v>
      </c>
      <c r="P43" s="54">
        <f t="shared" si="11"/>
        <v>0</v>
      </c>
      <c r="Q43" s="54" t="e">
        <f t="shared" si="12"/>
        <v>#DIV/0!</v>
      </c>
      <c r="R43" s="54">
        <f t="shared" si="13"/>
        <v>0</v>
      </c>
      <c r="S43" s="73"/>
      <c r="T43" s="50"/>
      <c r="U43" s="73"/>
      <c r="V43" s="64"/>
      <c r="W43" s="64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50"/>
      <c r="BD43" s="50"/>
      <c r="BE43" s="50"/>
      <c r="BF43" s="25"/>
      <c r="BG43" s="3"/>
      <c r="BH43" s="3"/>
      <c r="BI43" s="3"/>
      <c r="BJ43" s="3"/>
    </row>
    <row r="44" spans="1:62" s="165" customFormat="1" ht="15.75" customHeight="1" x14ac:dyDescent="0.25">
      <c r="A44" s="59" t="s">
        <v>142</v>
      </c>
      <c r="B44" s="68" t="s">
        <v>171</v>
      </c>
      <c r="C44" s="175">
        <f>5855+6447+949.5+1583.4+2957.65+435.44+19467.6</f>
        <v>37695.589999999997</v>
      </c>
      <c r="D44" s="62"/>
      <c r="E44" s="62"/>
      <c r="F44" s="77"/>
      <c r="G44" s="52">
        <f t="shared" si="23"/>
        <v>0</v>
      </c>
      <c r="H44" s="52">
        <f t="shared" si="23"/>
        <v>0</v>
      </c>
      <c r="I44" s="52">
        <f t="shared" si="24"/>
        <v>0</v>
      </c>
      <c r="J44" s="42">
        <f t="shared" si="15"/>
        <v>0</v>
      </c>
      <c r="K44" s="42">
        <f>IF(BD44=0,SUM(T44+W44+Z44+AC44+AF44+AI44+AL44+AO44+AR44+AU44+AX44+BA44),BD44)</f>
        <v>0</v>
      </c>
      <c r="L44" s="42">
        <f t="shared" si="10"/>
        <v>0</v>
      </c>
      <c r="M44" s="52">
        <f t="shared" si="16"/>
        <v>37695.589999999997</v>
      </c>
      <c r="N44" s="52">
        <f t="shared" si="17"/>
        <v>0</v>
      </c>
      <c r="O44" s="52">
        <f t="shared" si="18"/>
        <v>0</v>
      </c>
      <c r="P44" s="54">
        <f t="shared" si="11"/>
        <v>0</v>
      </c>
      <c r="Q44" s="54" t="e">
        <f t="shared" si="12"/>
        <v>#DIV/0!</v>
      </c>
      <c r="R44" s="54" t="e">
        <f t="shared" si="13"/>
        <v>#DIV/0!</v>
      </c>
      <c r="S44" s="73"/>
      <c r="T44" s="50"/>
      <c r="U44" s="73"/>
      <c r="V44" s="64"/>
      <c r="W44" s="64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50"/>
      <c r="BD44" s="50"/>
      <c r="BE44" s="50"/>
      <c r="BF44" s="25"/>
      <c r="BG44" s="3"/>
      <c r="BH44" s="3"/>
      <c r="BI44" s="3"/>
      <c r="BJ44" s="3"/>
    </row>
    <row r="45" spans="1:62" s="167" customFormat="1" ht="15.75" customHeight="1" x14ac:dyDescent="0.25">
      <c r="A45" s="59" t="s">
        <v>142</v>
      </c>
      <c r="B45" s="68" t="s">
        <v>175</v>
      </c>
      <c r="C45" s="175"/>
      <c r="D45" s="62"/>
      <c r="E45" s="62"/>
      <c r="F45" s="176">
        <f>2874.45+8500+15300+2420</f>
        <v>29094.45</v>
      </c>
      <c r="G45" s="52">
        <f t="shared" si="23"/>
        <v>0</v>
      </c>
      <c r="H45" s="52">
        <f t="shared" si="23"/>
        <v>0</v>
      </c>
      <c r="I45" s="52">
        <f t="shared" si="24"/>
        <v>0</v>
      </c>
      <c r="J45" s="42">
        <f t="shared" si="15"/>
        <v>0</v>
      </c>
      <c r="K45" s="42">
        <f>IF(BD45=0,SUM(T45+W45+Z45+AC45+AF45+AI45+AL45+AO45+AR45+AU45+AX45+BA45),BD45)</f>
        <v>0</v>
      </c>
      <c r="L45" s="42">
        <f t="shared" si="10"/>
        <v>0</v>
      </c>
      <c r="M45" s="52">
        <f t="shared" si="16"/>
        <v>0</v>
      </c>
      <c r="N45" s="52">
        <f t="shared" si="17"/>
        <v>0</v>
      </c>
      <c r="O45" s="52">
        <f t="shared" si="18"/>
        <v>29094.45</v>
      </c>
      <c r="P45" s="54" t="e">
        <f t="shared" si="11"/>
        <v>#DIV/0!</v>
      </c>
      <c r="Q45" s="54" t="e">
        <f t="shared" si="12"/>
        <v>#DIV/0!</v>
      </c>
      <c r="R45" s="54">
        <f t="shared" si="13"/>
        <v>0</v>
      </c>
      <c r="S45" s="73"/>
      <c r="T45" s="50"/>
      <c r="U45" s="73"/>
      <c r="V45" s="64"/>
      <c r="W45" s="64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50"/>
      <c r="BD45" s="50"/>
      <c r="BE45" s="50"/>
      <c r="BF45" s="25"/>
      <c r="BG45" s="3"/>
      <c r="BH45" s="3"/>
      <c r="BI45" s="3"/>
      <c r="BJ45" s="3"/>
    </row>
    <row r="46" spans="1:62" ht="15.75" customHeight="1" x14ac:dyDescent="0.25">
      <c r="A46" s="79" t="s">
        <v>133</v>
      </c>
      <c r="B46" s="80" t="s">
        <v>91</v>
      </c>
      <c r="C46" s="61"/>
      <c r="D46" s="78">
        <v>34415.78</v>
      </c>
      <c r="E46" s="78"/>
      <c r="F46" s="63"/>
      <c r="G46" s="52">
        <f t="shared" si="24"/>
        <v>0</v>
      </c>
      <c r="H46" s="52">
        <f t="shared" si="21"/>
        <v>34415.78</v>
      </c>
      <c r="I46" s="52">
        <f t="shared" si="24"/>
        <v>0</v>
      </c>
      <c r="J46" s="42">
        <f t="shared" ref="J46:L49" si="25">IF(BC46=0,SUM(S46+V46+Y46+AB46+AE46+AH46+AK46+AN46+AQ46+AT46+AW46+AZ46),BC46)</f>
        <v>0</v>
      </c>
      <c r="K46" s="42">
        <f t="shared" si="25"/>
        <v>34415.78</v>
      </c>
      <c r="L46" s="42">
        <f t="shared" si="25"/>
        <v>0</v>
      </c>
      <c r="M46" s="52">
        <f t="shared" ref="M46:M49" si="26">C46-G46</f>
        <v>0</v>
      </c>
      <c r="N46" s="52">
        <f t="shared" ref="N46:N49" si="27">D46-H46</f>
        <v>0</v>
      </c>
      <c r="O46" s="52">
        <f t="shared" ref="O46:O49" si="28">F46-I46</f>
        <v>0</v>
      </c>
      <c r="P46" s="54" t="e">
        <f t="shared" ref="P46:P49" si="29">G46/C46</f>
        <v>#DIV/0!</v>
      </c>
      <c r="Q46" s="54">
        <f t="shared" ref="Q46:Q49" si="30">H46/D46</f>
        <v>1</v>
      </c>
      <c r="R46" s="54" t="e">
        <f t="shared" ref="R46:R49" si="31">I46/F46</f>
        <v>#DIV/0!</v>
      </c>
      <c r="S46" s="50"/>
      <c r="T46" s="50"/>
      <c r="U46" s="50"/>
      <c r="V46" s="61"/>
      <c r="W46" s="61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>
        <v>10324.73</v>
      </c>
      <c r="AJ46" s="50"/>
      <c r="AK46" s="50"/>
      <c r="AL46" s="50"/>
      <c r="AM46" s="50"/>
      <c r="AN46" s="50"/>
      <c r="AO46" s="50"/>
      <c r="AP46" s="50"/>
      <c r="AQ46" s="50"/>
      <c r="AR46" s="50">
        <v>24091.05</v>
      </c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25"/>
      <c r="BG46" s="3"/>
      <c r="BH46" s="3"/>
      <c r="BI46" s="3"/>
      <c r="BJ46" s="3"/>
    </row>
    <row r="47" spans="1:62" s="17" customFormat="1" ht="15.75" customHeight="1" x14ac:dyDescent="0.25">
      <c r="A47" s="79" t="s">
        <v>133</v>
      </c>
      <c r="B47" s="80" t="s">
        <v>194</v>
      </c>
      <c r="C47" s="61"/>
      <c r="D47" s="78">
        <v>15982.5</v>
      </c>
      <c r="E47" s="78"/>
      <c r="F47" s="63"/>
      <c r="G47" s="52">
        <f t="shared" si="24"/>
        <v>0</v>
      </c>
      <c r="H47" s="52">
        <f t="shared" si="21"/>
        <v>15982.5</v>
      </c>
      <c r="I47" s="52">
        <f t="shared" si="24"/>
        <v>0</v>
      </c>
      <c r="J47" s="42">
        <f t="shared" si="25"/>
        <v>0</v>
      </c>
      <c r="K47" s="42">
        <f t="shared" si="25"/>
        <v>15982.5</v>
      </c>
      <c r="L47" s="42">
        <f t="shared" si="25"/>
        <v>0</v>
      </c>
      <c r="M47" s="52">
        <f t="shared" si="26"/>
        <v>0</v>
      </c>
      <c r="N47" s="52">
        <f t="shared" si="27"/>
        <v>0</v>
      </c>
      <c r="O47" s="52">
        <f t="shared" si="28"/>
        <v>0</v>
      </c>
      <c r="P47" s="54" t="e">
        <f t="shared" si="29"/>
        <v>#DIV/0!</v>
      </c>
      <c r="Q47" s="54">
        <f t="shared" si="30"/>
        <v>1</v>
      </c>
      <c r="R47" s="54" t="e">
        <f t="shared" si="31"/>
        <v>#DIV/0!</v>
      </c>
      <c r="S47" s="50"/>
      <c r="T47" s="50"/>
      <c r="U47" s="50"/>
      <c r="V47" s="61"/>
      <c r="W47" s="61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>
        <v>15982.5</v>
      </c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25"/>
      <c r="BG47" s="3"/>
      <c r="BH47" s="3"/>
      <c r="BI47" s="3"/>
      <c r="BJ47" s="3"/>
    </row>
    <row r="48" spans="1:62" s="17" customFormat="1" ht="15.75" customHeight="1" x14ac:dyDescent="0.25">
      <c r="A48" s="79" t="s">
        <v>92</v>
      </c>
      <c r="B48" s="81" t="s">
        <v>34</v>
      </c>
      <c r="C48" s="77">
        <f>481.98+27.08+902.65+115.52+97.95+177.56</f>
        <v>1802.74</v>
      </c>
      <c r="D48" s="67"/>
      <c r="E48" s="67"/>
      <c r="F48" s="63"/>
      <c r="G48" s="52">
        <f t="shared" si="24"/>
        <v>1802.74</v>
      </c>
      <c r="H48" s="52">
        <f t="shared" si="21"/>
        <v>0</v>
      </c>
      <c r="I48" s="52">
        <f t="shared" si="24"/>
        <v>0</v>
      </c>
      <c r="J48" s="42">
        <f t="shared" si="25"/>
        <v>1802.74</v>
      </c>
      <c r="K48" s="42">
        <f t="shared" si="25"/>
        <v>0</v>
      </c>
      <c r="L48" s="42">
        <f t="shared" si="25"/>
        <v>0</v>
      </c>
      <c r="M48" s="52">
        <f t="shared" si="26"/>
        <v>0</v>
      </c>
      <c r="N48" s="52">
        <f t="shared" si="27"/>
        <v>0</v>
      </c>
      <c r="O48" s="52">
        <f t="shared" si="28"/>
        <v>0</v>
      </c>
      <c r="P48" s="54">
        <f t="shared" si="29"/>
        <v>1</v>
      </c>
      <c r="Q48" s="54" t="e">
        <f t="shared" si="30"/>
        <v>#DIV/0!</v>
      </c>
      <c r="R48" s="54" t="e">
        <f t="shared" si="31"/>
        <v>#DIV/0!</v>
      </c>
      <c r="S48" s="50">
        <f>27.08</f>
        <v>27.08</v>
      </c>
      <c r="T48" s="50"/>
      <c r="U48" s="50"/>
      <c r="V48" s="61"/>
      <c r="W48" s="61"/>
      <c r="X48" s="50"/>
      <c r="Y48" s="50"/>
      <c r="Z48" s="50"/>
      <c r="AA48" s="50"/>
      <c r="AB48" s="50">
        <f>481.98</f>
        <v>481.98</v>
      </c>
      <c r="AC48" s="50"/>
      <c r="AD48" s="50"/>
      <c r="AE48" s="50"/>
      <c r="AF48" s="50"/>
      <c r="AG48" s="50"/>
      <c r="AH48" s="50">
        <f>115.52+902.65</f>
        <v>1018.17</v>
      </c>
      <c r="AI48" s="50"/>
      <c r="AJ48" s="50"/>
      <c r="AK48" s="50"/>
      <c r="AL48" s="50"/>
      <c r="AM48" s="50"/>
      <c r="AN48" s="50"/>
      <c r="AO48" s="50"/>
      <c r="AP48" s="50"/>
      <c r="AQ48" s="50">
        <f>97.95+88.78+88.78</f>
        <v>275.51</v>
      </c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25"/>
      <c r="BG48" s="3"/>
      <c r="BH48" s="3"/>
      <c r="BI48" s="3"/>
      <c r="BJ48" s="3"/>
    </row>
    <row r="49" spans="1:62" s="17" customFormat="1" ht="15.75" customHeight="1" x14ac:dyDescent="0.25">
      <c r="A49" s="47" t="s">
        <v>134</v>
      </c>
      <c r="B49" s="82" t="s">
        <v>112</v>
      </c>
      <c r="C49" s="50">
        <v>83</v>
      </c>
      <c r="D49" s="78"/>
      <c r="E49" s="78"/>
      <c r="F49" s="51"/>
      <c r="G49" s="52">
        <f t="shared" si="24"/>
        <v>83</v>
      </c>
      <c r="H49" s="52">
        <f t="shared" si="21"/>
        <v>0</v>
      </c>
      <c r="I49" s="52">
        <f t="shared" si="24"/>
        <v>0</v>
      </c>
      <c r="J49" s="42">
        <f t="shared" si="25"/>
        <v>83</v>
      </c>
      <c r="K49" s="42">
        <f t="shared" si="25"/>
        <v>0</v>
      </c>
      <c r="L49" s="42">
        <f t="shared" si="25"/>
        <v>0</v>
      </c>
      <c r="M49" s="52">
        <f t="shared" si="26"/>
        <v>0</v>
      </c>
      <c r="N49" s="52">
        <f t="shared" si="27"/>
        <v>0</v>
      </c>
      <c r="O49" s="52">
        <f t="shared" si="28"/>
        <v>0</v>
      </c>
      <c r="P49" s="54">
        <f t="shared" si="29"/>
        <v>1</v>
      </c>
      <c r="Q49" s="54" t="e">
        <f t="shared" si="30"/>
        <v>#DIV/0!</v>
      </c>
      <c r="R49" s="54" t="e">
        <f t="shared" si="31"/>
        <v>#DIV/0!</v>
      </c>
      <c r="S49" s="50"/>
      <c r="T49" s="50"/>
      <c r="U49" s="50"/>
      <c r="V49" s="50"/>
      <c r="W49" s="50"/>
      <c r="X49" s="50"/>
      <c r="Y49" s="50"/>
      <c r="Z49" s="50"/>
      <c r="AA49" s="50"/>
      <c r="AB49" s="50">
        <v>83</v>
      </c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25"/>
      <c r="BG49" s="3"/>
      <c r="BH49" s="3"/>
      <c r="BI49" s="3"/>
      <c r="BJ49" s="3"/>
    </row>
    <row r="50" spans="1:62" ht="21" x14ac:dyDescent="0.25">
      <c r="A50" s="44" t="s">
        <v>35</v>
      </c>
      <c r="B50" s="44"/>
      <c r="C50" s="45">
        <f>C51+C57+C58+C59+C60+C61+C64+C68+C73</f>
        <v>151708.72</v>
      </c>
      <c r="D50" s="45">
        <f>D51+D57+D58+D59+D60+D61+D64+D68+D73</f>
        <v>461692.3</v>
      </c>
      <c r="E50" s="45">
        <f>E51+E57+E58+E59+E60+E61+E64+E68+E73</f>
        <v>0</v>
      </c>
      <c r="F50" s="45">
        <f>F51+F57+F58+F59+F60+F61+F64+F68+F73</f>
        <v>79000</v>
      </c>
      <c r="G50" s="45">
        <f>G51+G57+G58+G59+G60+G61+G64+G68+G73</f>
        <v>69612.27</v>
      </c>
      <c r="H50" s="45">
        <f>H51+H57+H58+H59+H60+H61+H64+H68+H73</f>
        <v>459448.41000000003</v>
      </c>
      <c r="I50" s="45">
        <f>I51+I57+I58+I59+I60+I61+I64+I68+I73</f>
        <v>1820</v>
      </c>
      <c r="J50" s="45">
        <f t="shared" ref="J50:L56" si="32">IF(BC50=0,SUM(S50+V50+Y50+AB50+AE50+AH50+AK50+AN50+AQ50+AT50+AW50+AZ50),BC50)</f>
        <v>69612.27</v>
      </c>
      <c r="K50" s="45">
        <f t="shared" si="32"/>
        <v>459448.41</v>
      </c>
      <c r="L50" s="45">
        <f t="shared" si="32"/>
        <v>1820</v>
      </c>
      <c r="M50" s="45">
        <f>M51+M57+M58+M59+M60+M61+M64+M68+M73</f>
        <v>82096.45</v>
      </c>
      <c r="N50" s="45">
        <f>N51+N57+N58+N59+N60+N61+N64+N68+N73</f>
        <v>2243.8900000000003</v>
      </c>
      <c r="O50" s="45">
        <f>O51+O57+O58+O59+O60+O61+O64+O68+O73</f>
        <v>77180</v>
      </c>
      <c r="P50" s="46">
        <f t="shared" ref="P50:Q56" si="33">G50/C50</f>
        <v>0.45885477116938306</v>
      </c>
      <c r="Q50" s="46">
        <f t="shared" si="33"/>
        <v>0.99513985829956453</v>
      </c>
      <c r="R50" s="46">
        <f t="shared" ref="R50:R56" si="34">I50/F50</f>
        <v>2.3037974683544304E-2</v>
      </c>
      <c r="S50" s="45">
        <f>S51+S57+S58+S59+S60+S61+S64+S68+S73</f>
        <v>0</v>
      </c>
      <c r="T50" s="45">
        <f>T51+T57+T58+T59+T60+T61+T64+T68+T73</f>
        <v>3523.0600000000004</v>
      </c>
      <c r="U50" s="45">
        <f>U51+U57+U58+U59+U60+U61+U64+U68+U73</f>
        <v>0</v>
      </c>
      <c r="V50" s="45">
        <f>V51+V57+V58+V59+V60+V61+V64+V68+V73</f>
        <v>0</v>
      </c>
      <c r="W50" s="45">
        <f>W51+W57+W58+W59+W60+W61+W64+W68+W73</f>
        <v>3848.8500000000004</v>
      </c>
      <c r="X50" s="45">
        <f>X51+X57+X58+X59+X60+X61+X64+X68+X73</f>
        <v>0</v>
      </c>
      <c r="Y50" s="45">
        <f>Y51+Y57+Y58+Y59+Y60+Y61+Y64+Y68+Y73</f>
        <v>2918.32</v>
      </c>
      <c r="Z50" s="45">
        <f>Z51+Z57+Z58+Z59+Z60+Z61+Z64+Z68+Z73</f>
        <v>90937.34</v>
      </c>
      <c r="AA50" s="45">
        <f>AA51+AA57+AA58+AA59+AA60+AA61+AA64+AA68+AA73</f>
        <v>0</v>
      </c>
      <c r="AB50" s="45">
        <f>AB51+AB57+AB58+AB59+AB60+AB61+AB64+AB68+AB73</f>
        <v>2918.32</v>
      </c>
      <c r="AC50" s="45">
        <f>AC51+AC57+AC58+AC59+AC60+AC61+AC64+AC68+AC73</f>
        <v>309427.32</v>
      </c>
      <c r="AD50" s="45">
        <f>AD51+AD57+AD58+AD59+AD60+AD61+AD64+AD68+AD73</f>
        <v>0</v>
      </c>
      <c r="AE50" s="45">
        <f>AE51+AE57+AE58+AE59+AE60+AE61+AE64+AE68+AE73</f>
        <v>20446.54</v>
      </c>
      <c r="AF50" s="45">
        <f>AF51+AF57+AF58+AF59+AF60+AF61+AF64+AF68+AF73</f>
        <v>41883.300000000003</v>
      </c>
      <c r="AG50" s="45">
        <f>AG51+AG57+AG58+AG59+AG60+AG61+AG64+AG68+AG73</f>
        <v>0</v>
      </c>
      <c r="AH50" s="45">
        <f>AH51+AH57+AH58+AH59+AH60+AH61+AH64+AH68+AH73</f>
        <v>4274.1100000000006</v>
      </c>
      <c r="AI50" s="45">
        <f>AI51+AI57+AI58+AI59+AI60+AI61+AI64+AI68+AI73</f>
        <v>8778.6</v>
      </c>
      <c r="AJ50" s="45">
        <f>AJ51+AJ57+AJ58+AJ59+AJ60+AJ61+AJ64+AJ68+AJ73</f>
        <v>0</v>
      </c>
      <c r="AK50" s="45">
        <f>AK51+AK57+AK58+AK59+AK60+AK61+AK64+AK68+AK73</f>
        <v>9908.85</v>
      </c>
      <c r="AL50" s="45">
        <f>AL51+AL57+AL58+AL59+AL60+AL61+AL64+AL68+AL73</f>
        <v>281.66999999999996</v>
      </c>
      <c r="AM50" s="45">
        <f>AM51+AM57+AM58+AM59+AM60+AM61+AM64+AM68+AM73</f>
        <v>0</v>
      </c>
      <c r="AN50" s="45">
        <f>AN51+AN57+AN58+AN59+AN60+AN61+AN64+AN68+AN73</f>
        <v>3278.01</v>
      </c>
      <c r="AO50" s="45">
        <f>AO51+AO57+AO58+AO59+AO60+AO61+AO64+AO68+AO73</f>
        <v>307.37</v>
      </c>
      <c r="AP50" s="45">
        <f>AP51+AP57+AP58+AP59+AP60+AP61+AP64+AP68+AP73</f>
        <v>0</v>
      </c>
      <c r="AQ50" s="45">
        <f>AQ51+AQ57+AQ58+AQ59+AQ60+AQ61+AQ64+AQ68+AQ73</f>
        <v>9307.7000000000007</v>
      </c>
      <c r="AR50" s="45">
        <f>AR51+AR57+AR58+AR59+AR60+AR61+AR64+AR68+AR73</f>
        <v>107.71</v>
      </c>
      <c r="AS50" s="45">
        <f>AS51+AS57+AS58+AS59+AS60+AS61+AS64+AS68+AS73</f>
        <v>0</v>
      </c>
      <c r="AT50" s="45">
        <f>AT51+AT57+AT58+AT59+AT60+AT61+AT64+AT68+AT73</f>
        <v>5023.59</v>
      </c>
      <c r="AU50" s="45">
        <f>AU51+AU57+AU58+AU59+AU60+AU61+AU64+AU68+AU73</f>
        <v>94.72</v>
      </c>
      <c r="AV50" s="45">
        <f>AV51+AV57+AV58+AV59+AV60+AV61+AV64+AV68+AV73</f>
        <v>0</v>
      </c>
      <c r="AW50" s="45">
        <f>AW51+AW57+AW58+AW59+AW60+AW61+AW64+AW68+AW73</f>
        <v>8150.63</v>
      </c>
      <c r="AX50" s="45">
        <f>AX51+AX57+AX58+AX59+AX60+AX61+AX64+AX68+AX73</f>
        <v>122.94</v>
      </c>
      <c r="AY50" s="45">
        <f>AY51+AY57+AY58+AY59+AY60+AY61+AY64+AY68+AY73</f>
        <v>1820</v>
      </c>
      <c r="AZ50" s="45">
        <f>AZ51+AZ57+AZ58+AZ59+AZ60+AZ61+AZ64+AZ68+AZ73</f>
        <v>3386.2000000000003</v>
      </c>
      <c r="BA50" s="45">
        <f>BA51+BA57+BA58+BA59+BA60+BA61+BA64+BA68+BA73</f>
        <v>135.53</v>
      </c>
      <c r="BB50" s="45">
        <f>BB51+BB57+BB58+BB59+BB60+BB61+BB64+BB68+BB73</f>
        <v>0</v>
      </c>
      <c r="BC50" s="45">
        <f>BC51+BC57+BC58+BC59+BC60+BC61+BC64+BC68+BC73</f>
        <v>0</v>
      </c>
      <c r="BD50" s="45">
        <f>BD51+BD57+BD58+BD59+BD60+BD61+BD64+BD68+BD73</f>
        <v>0</v>
      </c>
      <c r="BE50" s="45">
        <f>BE51+BE57+BE58+BE59+BE60+BE61+BE64+BE68+BE73</f>
        <v>0</v>
      </c>
      <c r="BF50" s="27"/>
      <c r="BG50" s="5"/>
      <c r="BH50" s="5"/>
      <c r="BI50" s="5"/>
      <c r="BJ50" s="5"/>
    </row>
    <row r="51" spans="1:62" ht="15.75" customHeight="1" x14ac:dyDescent="0.25">
      <c r="A51" s="83"/>
      <c r="B51" s="84" t="s">
        <v>36</v>
      </c>
      <c r="C51" s="85">
        <f>SUM(C52:C56)</f>
        <v>34996.050000000003</v>
      </c>
      <c r="D51" s="85">
        <f>SUM(D52:D60)</f>
        <v>11496.14</v>
      </c>
      <c r="E51" s="85"/>
      <c r="F51" s="85">
        <f>SUM(F52:F53)</f>
        <v>0</v>
      </c>
      <c r="G51" s="85">
        <f>SUM(G52:G56)</f>
        <v>26837.27</v>
      </c>
      <c r="H51" s="85">
        <f>SUM(H52:H56)</f>
        <v>9252.25</v>
      </c>
      <c r="I51" s="85">
        <f>SUM(I52:I53)</f>
        <v>0</v>
      </c>
      <c r="J51" s="41">
        <f>IF(BC51=0,SUM(S51+V51+Y51+AB51+AE51+AH51+AK51+AN51+AQ51+AT51+AW51+AZ51),BC51)</f>
        <v>26837.270000000004</v>
      </c>
      <c r="K51" s="41">
        <f>IF(BD51=0,SUM(T51+W51+Z51+AC51+AF51+AI51+AL51+AO51+AR51+AU51+AX51+BA51),BD51)</f>
        <v>9252.2500000000018</v>
      </c>
      <c r="L51" s="41">
        <f t="shared" si="32"/>
        <v>0</v>
      </c>
      <c r="M51" s="85">
        <f>SUM(M52:M56)</f>
        <v>8158.7800000000007</v>
      </c>
      <c r="N51" s="85">
        <f>SUM(N52:N56)</f>
        <v>2243.8900000000003</v>
      </c>
      <c r="O51" s="85">
        <f>SUM(O52:O56)</f>
        <v>0</v>
      </c>
      <c r="P51" s="86">
        <f t="shared" si="33"/>
        <v>0.76686568912777298</v>
      </c>
      <c r="Q51" s="86">
        <f t="shared" si="33"/>
        <v>0.8048136157005743</v>
      </c>
      <c r="R51" s="86" t="e">
        <f t="shared" si="34"/>
        <v>#DIV/0!</v>
      </c>
      <c r="S51" s="85">
        <f>SUM(S52:S53)</f>
        <v>0</v>
      </c>
      <c r="T51" s="85">
        <f>SUM(T52:T56)</f>
        <v>3523.0600000000004</v>
      </c>
      <c r="U51" s="85">
        <f>SUM(U52:U53)</f>
        <v>0</v>
      </c>
      <c r="V51" s="85">
        <f>SUM(V52:V53)</f>
        <v>0</v>
      </c>
      <c r="W51" s="85">
        <f>SUM(W52:W56)</f>
        <v>3492.6700000000005</v>
      </c>
      <c r="X51" s="85">
        <f t="shared" ref="X51:BE51" si="35">SUM(X52:X53)</f>
        <v>0</v>
      </c>
      <c r="Y51" s="85">
        <f>SUM(Y52:Y56)</f>
        <v>2918.32</v>
      </c>
      <c r="Z51" s="85">
        <f>SUM(Z52:Z56)</f>
        <v>517.04</v>
      </c>
      <c r="AA51" s="85">
        <f t="shared" si="35"/>
        <v>0</v>
      </c>
      <c r="AB51" s="85">
        <f>SUM(AB52:AB56)</f>
        <v>2918.32</v>
      </c>
      <c r="AC51" s="85">
        <f>SUM(AC52:AC56)</f>
        <v>477.64</v>
      </c>
      <c r="AD51" s="85">
        <f t="shared" si="35"/>
        <v>0</v>
      </c>
      <c r="AE51" s="85">
        <f>SUM(AE52:AE56)</f>
        <v>2918.32</v>
      </c>
      <c r="AF51" s="85">
        <f>SUM(AF52:AF56)</f>
        <v>83.3</v>
      </c>
      <c r="AG51" s="85">
        <f t="shared" si="35"/>
        <v>0</v>
      </c>
      <c r="AH51" s="85">
        <f>SUM(AH52:AH56)</f>
        <v>3494.11</v>
      </c>
      <c r="AI51" s="85">
        <f>SUM(AI52:AI56)</f>
        <v>108.6</v>
      </c>
      <c r="AJ51" s="85">
        <f t="shared" si="35"/>
        <v>0</v>
      </c>
      <c r="AK51" s="85">
        <f>SUM(AK52:AK56)</f>
        <v>3058.8500000000004</v>
      </c>
      <c r="AL51" s="85">
        <f>SUM(AL52:AL53)</f>
        <v>281.66999999999996</v>
      </c>
      <c r="AM51" s="85">
        <f t="shared" si="35"/>
        <v>0</v>
      </c>
      <c r="AN51" s="85">
        <f>SUM(AN52:AN56)</f>
        <v>3278.01</v>
      </c>
      <c r="AO51" s="85">
        <f>SUM(AO52:AO60)</f>
        <v>307.37</v>
      </c>
      <c r="AP51" s="85">
        <f t="shared" si="35"/>
        <v>0</v>
      </c>
      <c r="AQ51" s="85">
        <f>SUM(AQ52:AQ56)</f>
        <v>3307.7000000000003</v>
      </c>
      <c r="AR51" s="85">
        <f>SUM(AR52:AR56)</f>
        <v>107.71</v>
      </c>
      <c r="AS51" s="85">
        <f t="shared" si="35"/>
        <v>0</v>
      </c>
      <c r="AT51" s="85">
        <f t="shared" si="35"/>
        <v>2491.59</v>
      </c>
      <c r="AU51" s="85">
        <f>SUM(AU52:AU60)</f>
        <v>94.72</v>
      </c>
      <c r="AV51" s="85">
        <f t="shared" si="35"/>
        <v>0</v>
      </c>
      <c r="AW51" s="85">
        <f>SUM(AW52:AW60)</f>
        <v>1550.63</v>
      </c>
      <c r="AX51" s="85">
        <f>SUM(AX52:AX58)</f>
        <v>122.94</v>
      </c>
      <c r="AY51" s="85">
        <f t="shared" si="35"/>
        <v>0</v>
      </c>
      <c r="AZ51" s="85">
        <f>SUM(AZ52:AZ60)</f>
        <v>901.42000000000007</v>
      </c>
      <c r="BA51" s="85">
        <f>SUM(BA52:BA60)</f>
        <v>135.53</v>
      </c>
      <c r="BB51" s="85">
        <f t="shared" si="35"/>
        <v>0</v>
      </c>
      <c r="BC51" s="85">
        <f t="shared" si="35"/>
        <v>0</v>
      </c>
      <c r="BD51" s="85">
        <f t="shared" si="35"/>
        <v>0</v>
      </c>
      <c r="BE51" s="85">
        <f t="shared" si="35"/>
        <v>0</v>
      </c>
      <c r="BF51" s="28"/>
      <c r="BG51" s="6"/>
      <c r="BH51" s="6"/>
      <c r="BI51" s="6"/>
      <c r="BJ51" s="6"/>
    </row>
    <row r="52" spans="1:62" ht="15.75" customHeight="1" x14ac:dyDescent="0.25">
      <c r="A52" s="59" t="s">
        <v>135</v>
      </c>
      <c r="B52" s="68" t="s">
        <v>195</v>
      </c>
      <c r="C52" s="76">
        <f>900+450+450+2250+1354+2668.76</f>
        <v>8072.76</v>
      </c>
      <c r="D52" s="62">
        <f>1546.43+35.56+281.67</f>
        <v>1863.66</v>
      </c>
      <c r="E52" s="62"/>
      <c r="F52" s="87"/>
      <c r="G52" s="52">
        <f>S52+V52+Y52+AB52+AE52+AH52+AK52+AN52+AQ52+AT52+AW52+AZ52</f>
        <v>2637.25</v>
      </c>
      <c r="H52" s="52">
        <f>T52+W52+Z52+AC52+AF52+AI52+AL52+AO52+AR52+AU52+AX52+BA52</f>
        <v>1863.6600000000003</v>
      </c>
      <c r="I52" s="52">
        <f>U52+X52+AA52+AD52+AG52+AJ52+AM52+AP52+AS52+AV52+AY52+BB52</f>
        <v>0</v>
      </c>
      <c r="J52" s="42">
        <f t="shared" si="32"/>
        <v>2637.25</v>
      </c>
      <c r="K52" s="42">
        <f t="shared" si="32"/>
        <v>1863.6600000000003</v>
      </c>
      <c r="L52" s="42">
        <f t="shared" si="32"/>
        <v>0</v>
      </c>
      <c r="M52" s="52">
        <f t="shared" ref="M52:N56" si="36">C52-G52</f>
        <v>5435.51</v>
      </c>
      <c r="N52" s="52">
        <f t="shared" si="36"/>
        <v>0</v>
      </c>
      <c r="O52" s="52">
        <f t="shared" ref="O52:O60" si="37">F52-I52</f>
        <v>0</v>
      </c>
      <c r="P52" s="54">
        <f t="shared" si="33"/>
        <v>0.32668504947502464</v>
      </c>
      <c r="Q52" s="54">
        <f t="shared" si="33"/>
        <v>1.0000000000000002</v>
      </c>
      <c r="R52" s="54" t="e">
        <f t="shared" si="34"/>
        <v>#DIV/0!</v>
      </c>
      <c r="S52" s="50"/>
      <c r="T52" s="50">
        <v>338.21</v>
      </c>
      <c r="U52" s="50"/>
      <c r="V52" s="50"/>
      <c r="W52" s="64">
        <v>442.57</v>
      </c>
      <c r="X52" s="50"/>
      <c r="Y52" s="50"/>
      <c r="Z52" s="50">
        <v>350.6</v>
      </c>
      <c r="AA52" s="50"/>
      <c r="AB52" s="50"/>
      <c r="AC52" s="50">
        <v>288.42</v>
      </c>
      <c r="AD52" s="50"/>
      <c r="AE52" s="50"/>
      <c r="AF52" s="50"/>
      <c r="AG52" s="50"/>
      <c r="AH52" s="50">
        <f>299.73+276.06</f>
        <v>575.79</v>
      </c>
      <c r="AI52" s="50"/>
      <c r="AJ52" s="50"/>
      <c r="AK52" s="50">
        <v>140.53</v>
      </c>
      <c r="AL52" s="50">
        <f>422.2-140.53</f>
        <v>281.66999999999996</v>
      </c>
      <c r="AM52" s="50"/>
      <c r="AN52" s="50">
        <v>359.69</v>
      </c>
      <c r="AO52" s="50">
        <v>162.19</v>
      </c>
      <c r="AP52" s="43"/>
      <c r="AQ52" s="50">
        <v>389.38</v>
      </c>
      <c r="AR52" s="43"/>
      <c r="AS52" s="43"/>
      <c r="AT52" s="50"/>
      <c r="AU52" s="43"/>
      <c r="AV52" s="43"/>
      <c r="AW52" s="50">
        <f>350.12+347.05</f>
        <v>697.17000000000007</v>
      </c>
      <c r="AX52" s="50"/>
      <c r="AY52" s="43"/>
      <c r="AZ52" s="50">
        <v>474.69</v>
      </c>
      <c r="BA52" s="50"/>
      <c r="BB52" s="43"/>
      <c r="BC52" s="50"/>
      <c r="BD52" s="50"/>
      <c r="BE52" s="50"/>
      <c r="BF52" s="25"/>
      <c r="BG52" s="7"/>
      <c r="BH52" s="7"/>
      <c r="BI52" s="7"/>
      <c r="BJ52" s="7"/>
    </row>
    <row r="53" spans="1:62" ht="15.75" customHeight="1" x14ac:dyDescent="0.25">
      <c r="A53" s="59" t="s">
        <v>136</v>
      </c>
      <c r="B53" s="68" t="s">
        <v>196</v>
      </c>
      <c r="C53" s="77">
        <f>2491.59+2491.59+2491.59+2491.59+2491.59+2491.59+4983.18</f>
        <v>19932.72</v>
      </c>
      <c r="D53" s="62">
        <v>4983.18</v>
      </c>
      <c r="E53" s="62"/>
      <c r="F53" s="87"/>
      <c r="G53" s="52">
        <f t="shared" ref="G53:I57" si="38">S53+V53+Y53+AB53+AE53+AH53+AK53+AN53+AQ53+AT53+AW53+AZ53</f>
        <v>19932.72</v>
      </c>
      <c r="H53" s="52">
        <f t="shared" si="38"/>
        <v>4983.18</v>
      </c>
      <c r="I53" s="52">
        <f t="shared" si="38"/>
        <v>0</v>
      </c>
      <c r="J53" s="42">
        <f t="shared" si="32"/>
        <v>19932.72</v>
      </c>
      <c r="K53" s="42">
        <f t="shared" si="32"/>
        <v>4983.18</v>
      </c>
      <c r="L53" s="42">
        <f t="shared" si="32"/>
        <v>0</v>
      </c>
      <c r="M53" s="52">
        <f t="shared" si="36"/>
        <v>0</v>
      </c>
      <c r="N53" s="52">
        <f t="shared" si="36"/>
        <v>0</v>
      </c>
      <c r="O53" s="52">
        <f t="shared" si="37"/>
        <v>0</v>
      </c>
      <c r="P53" s="54">
        <f t="shared" si="33"/>
        <v>1</v>
      </c>
      <c r="Q53" s="54">
        <f t="shared" si="33"/>
        <v>1</v>
      </c>
      <c r="R53" s="54" t="e">
        <f t="shared" si="34"/>
        <v>#DIV/0!</v>
      </c>
      <c r="S53" s="50"/>
      <c r="T53" s="50">
        <v>2491.59</v>
      </c>
      <c r="U53" s="50"/>
      <c r="V53" s="50"/>
      <c r="W53" s="64">
        <v>2491.59</v>
      </c>
      <c r="X53" s="50"/>
      <c r="Y53" s="50">
        <f>2491.59</f>
        <v>2491.59</v>
      </c>
      <c r="Z53" s="50"/>
      <c r="AA53" s="50"/>
      <c r="AB53" s="50">
        <v>2491.59</v>
      </c>
      <c r="AC53" s="50"/>
      <c r="AD53" s="50"/>
      <c r="AE53" s="50">
        <f>2491.59</f>
        <v>2491.59</v>
      </c>
      <c r="AF53" s="50"/>
      <c r="AG53" s="50"/>
      <c r="AH53" s="50">
        <v>2491.59</v>
      </c>
      <c r="AI53" s="50"/>
      <c r="AJ53" s="50"/>
      <c r="AK53" s="50">
        <v>2491.59</v>
      </c>
      <c r="AL53" s="50"/>
      <c r="AM53" s="50"/>
      <c r="AN53" s="50">
        <v>2491.59</v>
      </c>
      <c r="AO53" s="50"/>
      <c r="AP53" s="43"/>
      <c r="AQ53" s="50">
        <v>2491.59</v>
      </c>
      <c r="AR53" s="43"/>
      <c r="AS53" s="43"/>
      <c r="AT53" s="50">
        <v>2491.59</v>
      </c>
      <c r="AU53" s="43"/>
      <c r="AV53" s="43"/>
      <c r="AW53" s="50"/>
      <c r="AX53" s="43"/>
      <c r="AY53" s="43"/>
      <c r="AZ53" s="50"/>
      <c r="BA53" s="50"/>
      <c r="BB53" s="43"/>
      <c r="BC53" s="50"/>
      <c r="BD53" s="50"/>
      <c r="BE53" s="50"/>
      <c r="BF53" s="25"/>
      <c r="BG53" s="7"/>
      <c r="BH53" s="7"/>
      <c r="BI53" s="7"/>
      <c r="BJ53" s="7"/>
    </row>
    <row r="54" spans="1:62" s="17" customFormat="1" ht="15.75" customHeight="1" x14ac:dyDescent="0.25">
      <c r="A54" s="59" t="s">
        <v>122</v>
      </c>
      <c r="B54" s="68" t="s">
        <v>108</v>
      </c>
      <c r="C54" s="77">
        <f>426.73+426.73+426.73+426.73+426.73+426.73+2133.65+853.46+1443.08</f>
        <v>6990.5700000000006</v>
      </c>
      <c r="D54" s="62">
        <v>853.46</v>
      </c>
      <c r="E54" s="62"/>
      <c r="F54" s="87"/>
      <c r="G54" s="52">
        <f>S54+V54+Y54+AB54+AE54+AH54+AK54+AN54+AQ54+AT54+AW54+AZ54</f>
        <v>4267.3</v>
      </c>
      <c r="H54" s="52">
        <f>T54+W54+Z54+AC54+AF54+AI54+AL54+AO54+AR54+AU54+AX54+BA54</f>
        <v>853.46</v>
      </c>
      <c r="I54" s="52">
        <f t="shared" si="38"/>
        <v>0</v>
      </c>
      <c r="J54" s="42">
        <f>IF(BC54=0,SUM(S54+V54+Y54+AB54+AE54+AH54+AK54+AN54+AQ54+AT54+AW54+AZ54),BC54)</f>
        <v>4267.3</v>
      </c>
      <c r="K54" s="42">
        <f>IF(BD54=0,SUM(T54+W54+Z54+AC54+AF54+AI54+AL54+AN54+AR54+AU54+AX54+BA54),BD54)</f>
        <v>1280.19</v>
      </c>
      <c r="L54" s="42">
        <f t="shared" si="32"/>
        <v>0</v>
      </c>
      <c r="M54" s="52">
        <f t="shared" si="36"/>
        <v>2723.2700000000004</v>
      </c>
      <c r="N54" s="52">
        <f t="shared" si="36"/>
        <v>0</v>
      </c>
      <c r="O54" s="52">
        <f t="shared" si="37"/>
        <v>0</v>
      </c>
      <c r="P54" s="54">
        <f t="shared" si="33"/>
        <v>0.61043663106155865</v>
      </c>
      <c r="Q54" s="54">
        <f t="shared" si="33"/>
        <v>1</v>
      </c>
      <c r="R54" s="54" t="e">
        <f t="shared" si="34"/>
        <v>#DIV/0!</v>
      </c>
      <c r="S54" s="50"/>
      <c r="T54" s="50">
        <v>426.73</v>
      </c>
      <c r="U54" s="50"/>
      <c r="V54" s="50"/>
      <c r="W54" s="64">
        <v>426.73</v>
      </c>
      <c r="X54" s="50"/>
      <c r="Y54" s="50">
        <f>426.73</f>
        <v>426.73</v>
      </c>
      <c r="Z54" s="50"/>
      <c r="AA54" s="50"/>
      <c r="AB54" s="50">
        <v>426.73</v>
      </c>
      <c r="AC54" s="50"/>
      <c r="AD54" s="50"/>
      <c r="AE54" s="50">
        <f>426.73</f>
        <v>426.73</v>
      </c>
      <c r="AF54" s="50"/>
      <c r="AG54" s="50"/>
      <c r="AH54" s="50">
        <v>426.73</v>
      </c>
      <c r="AI54" s="50"/>
      <c r="AJ54" s="50"/>
      <c r="AK54" s="50">
        <v>426.73</v>
      </c>
      <c r="AL54" s="50"/>
      <c r="AM54" s="50"/>
      <c r="AN54" s="50">
        <f>426.73</f>
        <v>426.73</v>
      </c>
      <c r="AP54" s="43"/>
      <c r="AQ54" s="50">
        <v>426.73</v>
      </c>
      <c r="AR54" s="43"/>
      <c r="AS54" s="43"/>
      <c r="AT54" s="43"/>
      <c r="AU54" s="43"/>
      <c r="AV54" s="43"/>
      <c r="AW54" s="50">
        <f>426.73+426.73</f>
        <v>853.46</v>
      </c>
      <c r="AX54" s="43"/>
      <c r="AY54" s="43"/>
      <c r="AZ54" s="50">
        <v>426.73</v>
      </c>
      <c r="BA54" s="50"/>
      <c r="BB54" s="43"/>
      <c r="BC54" s="50"/>
      <c r="BD54" s="50"/>
      <c r="BE54" s="50"/>
      <c r="BF54" s="25"/>
      <c r="BG54" s="7"/>
      <c r="BH54" s="7"/>
      <c r="BI54" s="7"/>
      <c r="BJ54" s="7"/>
    </row>
    <row r="55" spans="1:62" s="17" customFormat="1" ht="15.75" hidden="1" customHeight="1" x14ac:dyDescent="0.25">
      <c r="A55" s="59" t="s">
        <v>137</v>
      </c>
      <c r="B55" s="48" t="s">
        <v>93</v>
      </c>
      <c r="C55" s="61"/>
      <c r="D55" s="62"/>
      <c r="E55" s="62"/>
      <c r="F55" s="87"/>
      <c r="G55" s="52">
        <f t="shared" si="38"/>
        <v>0</v>
      </c>
      <c r="H55" s="52">
        <f t="shared" si="38"/>
        <v>0</v>
      </c>
      <c r="I55" s="52">
        <f t="shared" si="38"/>
        <v>0</v>
      </c>
      <c r="J55" s="42">
        <f t="shared" si="32"/>
        <v>0</v>
      </c>
      <c r="K55" s="42">
        <f t="shared" si="32"/>
        <v>0</v>
      </c>
      <c r="L55" s="42">
        <f t="shared" si="32"/>
        <v>0</v>
      </c>
      <c r="M55" s="52">
        <f t="shared" si="36"/>
        <v>0</v>
      </c>
      <c r="N55" s="52">
        <f t="shared" si="36"/>
        <v>0</v>
      </c>
      <c r="O55" s="52">
        <f t="shared" si="37"/>
        <v>0</v>
      </c>
      <c r="P55" s="54" t="e">
        <f t="shared" si="33"/>
        <v>#DIV/0!</v>
      </c>
      <c r="Q55" s="54" t="e">
        <f t="shared" si="33"/>
        <v>#DIV/0!</v>
      </c>
      <c r="R55" s="54" t="e">
        <f t="shared" si="34"/>
        <v>#DIV/0!</v>
      </c>
      <c r="S55" s="50"/>
      <c r="T55" s="50"/>
      <c r="U55" s="50"/>
      <c r="V55" s="50"/>
      <c r="W55" s="64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43"/>
      <c r="AQ55" s="43"/>
      <c r="AR55" s="43"/>
      <c r="AS55" s="43"/>
      <c r="AT55" s="43"/>
      <c r="AU55" s="43"/>
      <c r="AV55" s="43"/>
      <c r="AW55" s="50"/>
      <c r="AX55" s="43"/>
      <c r="AY55" s="43"/>
      <c r="AZ55" s="50"/>
      <c r="BA55" s="50"/>
      <c r="BB55" s="43"/>
      <c r="BC55" s="50"/>
      <c r="BD55" s="50"/>
      <c r="BE55" s="50"/>
      <c r="BF55" s="25"/>
      <c r="BG55" s="7"/>
      <c r="BH55" s="7"/>
      <c r="BI55" s="7"/>
      <c r="BJ55" s="7"/>
    </row>
    <row r="56" spans="1:62" s="17" customFormat="1" ht="15.75" customHeight="1" x14ac:dyDescent="0.25">
      <c r="A56" s="59" t="s">
        <v>138</v>
      </c>
      <c r="B56" s="68" t="s">
        <v>197</v>
      </c>
      <c r="C56" s="61"/>
      <c r="D56" s="62">
        <v>3795.84</v>
      </c>
      <c r="E56" s="62"/>
      <c r="F56" s="87"/>
      <c r="G56" s="52">
        <f t="shared" si="38"/>
        <v>0</v>
      </c>
      <c r="H56" s="52">
        <f t="shared" si="38"/>
        <v>1551.95</v>
      </c>
      <c r="I56" s="52">
        <f t="shared" si="38"/>
        <v>0</v>
      </c>
      <c r="J56" s="42">
        <f t="shared" si="32"/>
        <v>0</v>
      </c>
      <c r="K56" s="42">
        <f t="shared" si="32"/>
        <v>1551.95</v>
      </c>
      <c r="L56" s="42">
        <f t="shared" si="32"/>
        <v>0</v>
      </c>
      <c r="M56" s="52">
        <f t="shared" si="36"/>
        <v>0</v>
      </c>
      <c r="N56" s="52">
        <f t="shared" si="36"/>
        <v>2243.8900000000003</v>
      </c>
      <c r="O56" s="52">
        <f t="shared" si="37"/>
        <v>0</v>
      </c>
      <c r="P56" s="54" t="e">
        <f t="shared" si="33"/>
        <v>#DIV/0!</v>
      </c>
      <c r="Q56" s="54">
        <f t="shared" si="33"/>
        <v>0.40885548389816218</v>
      </c>
      <c r="R56" s="54" t="e">
        <f t="shared" si="34"/>
        <v>#DIV/0!</v>
      </c>
      <c r="S56" s="50"/>
      <c r="T56" s="50">
        <v>266.52999999999997</v>
      </c>
      <c r="U56" s="50"/>
      <c r="V56" s="50"/>
      <c r="W56" s="64">
        <v>131.78</v>
      </c>
      <c r="X56" s="50"/>
      <c r="Y56" s="50"/>
      <c r="Z56" s="50">
        <f>166.44</f>
        <v>166.44</v>
      </c>
      <c r="AA56" s="50"/>
      <c r="AB56" s="50"/>
      <c r="AC56" s="50">
        <v>189.22</v>
      </c>
      <c r="AD56" s="50"/>
      <c r="AE56" s="50"/>
      <c r="AF56" s="50">
        <v>83.3</v>
      </c>
      <c r="AG56" s="50"/>
      <c r="AH56" s="50"/>
      <c r="AI56" s="50">
        <v>108.6</v>
      </c>
      <c r="AJ56" s="50"/>
      <c r="AK56" s="50"/>
      <c r="AL56" s="50"/>
      <c r="AM56" s="50"/>
      <c r="AN56" s="50"/>
      <c r="AO56" s="50">
        <f>145.18</f>
        <v>145.18</v>
      </c>
      <c r="AP56" s="43"/>
      <c r="AQ56" s="43"/>
      <c r="AR56" s="50">
        <v>107.71</v>
      </c>
      <c r="AS56" s="43"/>
      <c r="AT56" s="43"/>
      <c r="AU56" s="50">
        <v>94.72</v>
      </c>
      <c r="AV56" s="43"/>
      <c r="AW56" s="50"/>
      <c r="AX56" s="50">
        <v>122.94</v>
      </c>
      <c r="AY56" s="43"/>
      <c r="AZ56" s="50"/>
      <c r="BA56" s="50">
        <v>135.53</v>
      </c>
      <c r="BB56" s="43"/>
      <c r="BC56" s="50"/>
      <c r="BD56" s="50"/>
      <c r="BE56" s="50"/>
      <c r="BF56" s="25"/>
      <c r="BG56" s="7"/>
      <c r="BH56" s="7"/>
      <c r="BI56" s="7"/>
      <c r="BJ56" s="7"/>
    </row>
    <row r="57" spans="1:62" ht="14.25" customHeight="1" x14ac:dyDescent="0.25">
      <c r="A57" s="88"/>
      <c r="B57" s="89" t="s">
        <v>162</v>
      </c>
      <c r="C57" s="91">
        <v>8764.11</v>
      </c>
      <c r="D57" s="92"/>
      <c r="E57" s="92"/>
      <c r="F57" s="92"/>
      <c r="G57" s="52">
        <f t="shared" si="38"/>
        <v>8764.11</v>
      </c>
      <c r="H57" s="52">
        <f t="shared" si="38"/>
        <v>0</v>
      </c>
      <c r="I57" s="93">
        <f>U57+X57+AA57+AD57+AG57+AJ57+AM57+AP57+AS57+AV57+AY57+BB57</f>
        <v>0</v>
      </c>
      <c r="J57" s="42">
        <f t="shared" ref="J57:J71" si="39">IF(BC57=0,SUM(S57+V57+Y57+AB57+AE57+AH57+AK57+AN57+AQ57+AT57+AW57+AZ57),BC57)</f>
        <v>8764.11</v>
      </c>
      <c r="K57" s="42">
        <f t="shared" ref="K57:K71" si="40">IF(BD57=0,SUM(T57+W57+Z57+AC57+AF57+AI57+AL57+AO57+AR57+AU57+AX57+BA57),BD57)</f>
        <v>0</v>
      </c>
      <c r="L57" s="42">
        <f t="shared" ref="L57:L72" si="41">IF(BE57=0,SUM(U57+X57+AA57+AD57+AG57+AJ57+AM57+AP57+AS57+AV57+AY57+BB57),BE57)</f>
        <v>0</v>
      </c>
      <c r="M57" s="93">
        <f t="shared" ref="M57:N60" si="42">C57-G57</f>
        <v>0</v>
      </c>
      <c r="N57" s="52">
        <f>D57-H57</f>
        <v>0</v>
      </c>
      <c r="O57" s="93">
        <f t="shared" si="37"/>
        <v>0</v>
      </c>
      <c r="P57" s="94">
        <f t="shared" ref="P57:P71" si="43">G57/C57</f>
        <v>1</v>
      </c>
      <c r="Q57" s="94" t="e">
        <f t="shared" ref="Q57:Q71" si="44">H57/D57</f>
        <v>#DIV/0!</v>
      </c>
      <c r="R57" s="94" t="e">
        <f t="shared" ref="R57:R72" si="45">I57/F57</f>
        <v>#DIV/0!</v>
      </c>
      <c r="S57" s="90"/>
      <c r="T57" s="90"/>
      <c r="U57" s="90"/>
      <c r="V57" s="90"/>
      <c r="W57" s="153"/>
      <c r="X57" s="90"/>
      <c r="Y57" s="90"/>
      <c r="Z57" s="90"/>
      <c r="AA57" s="90"/>
      <c r="AB57" s="90"/>
      <c r="AC57" s="90"/>
      <c r="AD57" s="90"/>
      <c r="AE57" s="90">
        <v>8764.11</v>
      </c>
      <c r="AF57" s="90"/>
      <c r="AG57" s="90"/>
      <c r="AH57" s="95"/>
      <c r="AI57" s="95"/>
      <c r="AJ57" s="95"/>
      <c r="AK57" s="95"/>
      <c r="AL57" s="95"/>
      <c r="AM57" s="95"/>
      <c r="AN57" s="95"/>
      <c r="AO57" s="163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50"/>
      <c r="BD57" s="50"/>
      <c r="BE57" s="50"/>
      <c r="BF57" s="29"/>
      <c r="BG57" s="8"/>
      <c r="BH57" s="8"/>
      <c r="BI57" s="8"/>
      <c r="BJ57" s="8"/>
    </row>
    <row r="58" spans="1:62" ht="15.75" customHeight="1" x14ac:dyDescent="0.25">
      <c r="A58" s="88"/>
      <c r="B58" s="89" t="s">
        <v>163</v>
      </c>
      <c r="C58" s="92"/>
      <c r="D58" s="92"/>
      <c r="E58" s="92"/>
      <c r="F58" s="92"/>
      <c r="G58" s="93">
        <f t="shared" ref="G58:H60" si="46">S58+V58+Y58+AB58+AE58+AH58+AK58+AN58+AQ58+AT58+AW58+AZ58</f>
        <v>0</v>
      </c>
      <c r="H58" s="93">
        <f t="shared" si="46"/>
        <v>0</v>
      </c>
      <c r="I58" s="93">
        <f>U58+X58+AA58+AD58+AG58+AJ58+AM58+AP58+AS58+AV58+AY58+BB58</f>
        <v>0</v>
      </c>
      <c r="J58" s="42">
        <f t="shared" si="39"/>
        <v>0</v>
      </c>
      <c r="K58" s="42">
        <f t="shared" si="40"/>
        <v>0</v>
      </c>
      <c r="L58" s="42">
        <f t="shared" si="41"/>
        <v>0</v>
      </c>
      <c r="M58" s="93">
        <f t="shared" si="42"/>
        <v>0</v>
      </c>
      <c r="N58" s="93">
        <f t="shared" si="42"/>
        <v>0</v>
      </c>
      <c r="O58" s="93">
        <f t="shared" si="37"/>
        <v>0</v>
      </c>
      <c r="P58" s="94" t="e">
        <f t="shared" si="43"/>
        <v>#DIV/0!</v>
      </c>
      <c r="Q58" s="94" t="e">
        <f t="shared" si="44"/>
        <v>#DIV/0!</v>
      </c>
      <c r="R58" s="94" t="e">
        <f t="shared" si="45"/>
        <v>#DIV/0!</v>
      </c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50"/>
      <c r="BD58" s="50"/>
      <c r="BE58" s="50"/>
      <c r="BF58" s="29"/>
      <c r="BG58" s="8"/>
      <c r="BH58" s="8"/>
      <c r="BI58" s="8"/>
      <c r="BJ58" s="8"/>
    </row>
    <row r="59" spans="1:62" ht="15.75" hidden="1" x14ac:dyDescent="0.25">
      <c r="A59" s="98"/>
      <c r="B59" s="155"/>
      <c r="C59" s="96"/>
      <c r="D59" s="96"/>
      <c r="E59" s="96"/>
      <c r="F59" s="96"/>
      <c r="G59" s="93">
        <f t="shared" si="46"/>
        <v>0</v>
      </c>
      <c r="H59" s="93">
        <f t="shared" si="46"/>
        <v>0</v>
      </c>
      <c r="I59" s="93">
        <f>U59+X59+AA59+AD59+AG59+AJ59+AM59+AP59+AS59+AV59+AY59+BB59</f>
        <v>0</v>
      </c>
      <c r="J59" s="42">
        <f t="shared" si="39"/>
        <v>0</v>
      </c>
      <c r="K59" s="42">
        <f t="shared" si="40"/>
        <v>0</v>
      </c>
      <c r="L59" s="42">
        <f t="shared" si="41"/>
        <v>0</v>
      </c>
      <c r="M59" s="93">
        <f t="shared" si="42"/>
        <v>0</v>
      </c>
      <c r="N59" s="93">
        <f t="shared" si="42"/>
        <v>0</v>
      </c>
      <c r="O59" s="93">
        <f t="shared" si="37"/>
        <v>0</v>
      </c>
      <c r="P59" s="94" t="e">
        <f t="shared" si="43"/>
        <v>#DIV/0!</v>
      </c>
      <c r="Q59" s="94" t="e">
        <f t="shared" si="44"/>
        <v>#DIV/0!</v>
      </c>
      <c r="R59" s="94" t="e">
        <f t="shared" si="45"/>
        <v>#DIV/0!</v>
      </c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50"/>
      <c r="BD59" s="50"/>
      <c r="BE59" s="50"/>
      <c r="BF59" s="29"/>
      <c r="BG59" s="8"/>
      <c r="BH59" s="8"/>
      <c r="BI59" s="8"/>
      <c r="BJ59" s="8"/>
    </row>
    <row r="60" spans="1:62" ht="15.75" hidden="1" customHeight="1" x14ac:dyDescent="0.25">
      <c r="A60" s="98"/>
      <c r="B60" s="99"/>
      <c r="C60" s="100"/>
      <c r="D60" s="100"/>
      <c r="E60" s="100"/>
      <c r="F60" s="100"/>
      <c r="G60" s="93">
        <f t="shared" si="46"/>
        <v>0</v>
      </c>
      <c r="H60" s="93">
        <f t="shared" si="46"/>
        <v>0</v>
      </c>
      <c r="I60" s="93">
        <f>U60+X60+AA60+AD60+AG60+AJ60+AM60+AP60+AS60+AV60+AY60+BB60</f>
        <v>0</v>
      </c>
      <c r="J60" s="42">
        <f t="shared" si="39"/>
        <v>0</v>
      </c>
      <c r="K60" s="42">
        <f t="shared" si="40"/>
        <v>0</v>
      </c>
      <c r="L60" s="42">
        <f t="shared" si="41"/>
        <v>0</v>
      </c>
      <c r="M60" s="93">
        <f t="shared" si="42"/>
        <v>0</v>
      </c>
      <c r="N60" s="93">
        <f t="shared" si="42"/>
        <v>0</v>
      </c>
      <c r="O60" s="93">
        <f t="shared" si="37"/>
        <v>0</v>
      </c>
      <c r="P60" s="94" t="e">
        <f t="shared" si="43"/>
        <v>#DIV/0!</v>
      </c>
      <c r="Q60" s="94" t="e">
        <f t="shared" si="44"/>
        <v>#DIV/0!</v>
      </c>
      <c r="R60" s="94" t="e">
        <f t="shared" si="45"/>
        <v>#DIV/0!</v>
      </c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101"/>
      <c r="BA60" s="73"/>
      <c r="BB60" s="73"/>
      <c r="BC60" s="50"/>
      <c r="BD60" s="50"/>
      <c r="BE60" s="50"/>
      <c r="BF60" s="29"/>
      <c r="BG60" s="8"/>
      <c r="BH60" s="8"/>
      <c r="BI60" s="8"/>
      <c r="BJ60" s="8"/>
    </row>
    <row r="61" spans="1:62" ht="18.75" customHeight="1" x14ac:dyDescent="0.25">
      <c r="A61" s="102"/>
      <c r="B61" s="103" t="s">
        <v>161</v>
      </c>
      <c r="C61" s="104">
        <f t="shared" ref="C61:I61" si="47">SUM(C62:C63)</f>
        <v>8764.11</v>
      </c>
      <c r="D61" s="104">
        <f t="shared" si="47"/>
        <v>0</v>
      </c>
      <c r="E61" s="104"/>
      <c r="F61" s="104">
        <f t="shared" si="47"/>
        <v>0</v>
      </c>
      <c r="G61" s="104">
        <f t="shared" si="47"/>
        <v>8764.11</v>
      </c>
      <c r="H61" s="104">
        <f t="shared" si="47"/>
        <v>0</v>
      </c>
      <c r="I61" s="104">
        <f t="shared" si="47"/>
        <v>0</v>
      </c>
      <c r="J61" s="41">
        <f t="shared" si="39"/>
        <v>8764.11</v>
      </c>
      <c r="K61" s="41">
        <f t="shared" si="40"/>
        <v>0</v>
      </c>
      <c r="L61" s="41">
        <f t="shared" si="41"/>
        <v>0</v>
      </c>
      <c r="M61" s="104">
        <f>SUM(M62:M63)</f>
        <v>0</v>
      </c>
      <c r="N61" s="104">
        <f>SUM(N62:N63)</f>
        <v>0</v>
      </c>
      <c r="O61" s="104">
        <f>SUM(O62:O63)</f>
        <v>0</v>
      </c>
      <c r="P61" s="106">
        <f t="shared" si="43"/>
        <v>1</v>
      </c>
      <c r="Q61" s="106" t="e">
        <f t="shared" si="44"/>
        <v>#DIV/0!</v>
      </c>
      <c r="R61" s="106" t="e">
        <f t="shared" si="45"/>
        <v>#DIV/0!</v>
      </c>
      <c r="S61" s="104">
        <f t="shared" ref="S61:BE61" si="48">SUM(S62:S63)</f>
        <v>0</v>
      </c>
      <c r="T61" s="104">
        <f t="shared" si="48"/>
        <v>0</v>
      </c>
      <c r="U61" s="104">
        <f t="shared" si="48"/>
        <v>0</v>
      </c>
      <c r="V61" s="104">
        <f t="shared" si="48"/>
        <v>0</v>
      </c>
      <c r="W61" s="104">
        <f t="shared" si="48"/>
        <v>0</v>
      </c>
      <c r="X61" s="104">
        <f t="shared" si="48"/>
        <v>0</v>
      </c>
      <c r="Y61" s="104">
        <f t="shared" si="48"/>
        <v>0</v>
      </c>
      <c r="Z61" s="104">
        <f t="shared" si="48"/>
        <v>0</v>
      </c>
      <c r="AA61" s="104">
        <f t="shared" si="48"/>
        <v>0</v>
      </c>
      <c r="AB61" s="104">
        <f t="shared" si="48"/>
        <v>0</v>
      </c>
      <c r="AC61" s="104">
        <f t="shared" si="48"/>
        <v>0</v>
      </c>
      <c r="AD61" s="104">
        <f t="shared" si="48"/>
        <v>0</v>
      </c>
      <c r="AE61" s="104">
        <f t="shared" si="48"/>
        <v>8764.11</v>
      </c>
      <c r="AF61" s="104">
        <f t="shared" si="48"/>
        <v>0</v>
      </c>
      <c r="AG61" s="104">
        <f t="shared" si="48"/>
        <v>0</v>
      </c>
      <c r="AH61" s="104">
        <f t="shared" si="48"/>
        <v>0</v>
      </c>
      <c r="AI61" s="104">
        <f t="shared" si="48"/>
        <v>0</v>
      </c>
      <c r="AJ61" s="104">
        <f t="shared" si="48"/>
        <v>0</v>
      </c>
      <c r="AK61" s="104">
        <f t="shared" si="48"/>
        <v>0</v>
      </c>
      <c r="AL61" s="104">
        <f t="shared" si="48"/>
        <v>0</v>
      </c>
      <c r="AM61" s="104">
        <f t="shared" si="48"/>
        <v>0</v>
      </c>
      <c r="AN61" s="104">
        <f t="shared" si="48"/>
        <v>0</v>
      </c>
      <c r="AO61" s="104">
        <f t="shared" si="48"/>
        <v>0</v>
      </c>
      <c r="AP61" s="104">
        <f t="shared" si="48"/>
        <v>0</v>
      </c>
      <c r="AQ61" s="104">
        <f t="shared" si="48"/>
        <v>0</v>
      </c>
      <c r="AR61" s="104">
        <f t="shared" si="48"/>
        <v>0</v>
      </c>
      <c r="AS61" s="104">
        <f t="shared" si="48"/>
        <v>0</v>
      </c>
      <c r="AT61" s="104">
        <f t="shared" si="48"/>
        <v>0</v>
      </c>
      <c r="AU61" s="104">
        <f t="shared" si="48"/>
        <v>0</v>
      </c>
      <c r="AV61" s="104">
        <f t="shared" si="48"/>
        <v>0</v>
      </c>
      <c r="AW61" s="104">
        <f t="shared" si="48"/>
        <v>0</v>
      </c>
      <c r="AX61" s="104">
        <f t="shared" si="48"/>
        <v>0</v>
      </c>
      <c r="AY61" s="104">
        <f t="shared" si="48"/>
        <v>0</v>
      </c>
      <c r="AZ61" s="104">
        <f t="shared" si="48"/>
        <v>0</v>
      </c>
      <c r="BA61" s="104">
        <f t="shared" si="48"/>
        <v>0</v>
      </c>
      <c r="BB61" s="104">
        <f t="shared" si="48"/>
        <v>0</v>
      </c>
      <c r="BC61" s="104">
        <f t="shared" si="48"/>
        <v>0</v>
      </c>
      <c r="BD61" s="104">
        <f t="shared" si="48"/>
        <v>0</v>
      </c>
      <c r="BE61" s="104">
        <f t="shared" si="48"/>
        <v>0</v>
      </c>
      <c r="BF61" s="28"/>
      <c r="BG61" s="6"/>
      <c r="BH61" s="6"/>
      <c r="BI61" s="6"/>
      <c r="BJ61" s="6"/>
    </row>
    <row r="62" spans="1:62" ht="15.75" customHeight="1" x14ac:dyDescent="0.25">
      <c r="A62" s="107" t="s">
        <v>130</v>
      </c>
      <c r="B62" s="108" t="s">
        <v>37</v>
      </c>
      <c r="C62" s="109">
        <v>8764.11</v>
      </c>
      <c r="D62" s="110"/>
      <c r="E62" s="110"/>
      <c r="F62" s="109"/>
      <c r="G62" s="52">
        <f t="shared" ref="G62:I63" si="49">S62+V62+Y62+AB62+AE62+AH62+AK62+AN62+AQ62+AT62+AW62+AZ62</f>
        <v>8764.11</v>
      </c>
      <c r="H62" s="52">
        <f t="shared" si="49"/>
        <v>0</v>
      </c>
      <c r="I62" s="52">
        <f t="shared" si="49"/>
        <v>0</v>
      </c>
      <c r="J62" s="42">
        <f t="shared" si="39"/>
        <v>8764.11</v>
      </c>
      <c r="K62" s="42">
        <f t="shared" si="40"/>
        <v>0</v>
      </c>
      <c r="L62" s="42">
        <f t="shared" si="41"/>
        <v>0</v>
      </c>
      <c r="M62" s="52">
        <f>C62-G62</f>
        <v>0</v>
      </c>
      <c r="N62" s="52">
        <f>D62-H62</f>
        <v>0</v>
      </c>
      <c r="O62" s="52">
        <f>F62-I62</f>
        <v>0</v>
      </c>
      <c r="P62" s="54">
        <f t="shared" si="43"/>
        <v>1</v>
      </c>
      <c r="Q62" s="54" t="e">
        <f t="shared" si="44"/>
        <v>#DIV/0!</v>
      </c>
      <c r="R62" s="54" t="e">
        <f t="shared" si="45"/>
        <v>#DIV/0!</v>
      </c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>
        <v>8764.11</v>
      </c>
      <c r="AF62" s="110"/>
      <c r="AG62" s="9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25"/>
      <c r="BG62" s="3"/>
      <c r="BH62" s="3"/>
      <c r="BI62" s="3"/>
      <c r="BJ62" s="3"/>
    </row>
    <row r="63" spans="1:62" ht="15.75" customHeight="1" x14ac:dyDescent="0.25">
      <c r="A63" s="47" t="s">
        <v>139</v>
      </c>
      <c r="B63" s="111" t="s">
        <v>38</v>
      </c>
      <c r="C63" s="50"/>
      <c r="D63" s="112"/>
      <c r="E63" s="112"/>
      <c r="F63" s="112"/>
      <c r="G63" s="52">
        <f t="shared" si="49"/>
        <v>0</v>
      </c>
      <c r="H63" s="52">
        <f t="shared" si="49"/>
        <v>0</v>
      </c>
      <c r="I63" s="52">
        <f t="shared" si="49"/>
        <v>0</v>
      </c>
      <c r="J63" s="42">
        <f t="shared" si="39"/>
        <v>0</v>
      </c>
      <c r="K63" s="42">
        <f t="shared" si="40"/>
        <v>0</v>
      </c>
      <c r="L63" s="42">
        <f t="shared" si="41"/>
        <v>0</v>
      </c>
      <c r="M63" s="52">
        <f>C63-G63</f>
        <v>0</v>
      </c>
      <c r="N63" s="52">
        <f>D63-H63</f>
        <v>0</v>
      </c>
      <c r="O63" s="52">
        <f>F63-I63</f>
        <v>0</v>
      </c>
      <c r="P63" s="54" t="e">
        <f t="shared" si="43"/>
        <v>#DIV/0!</v>
      </c>
      <c r="Q63" s="54" t="e">
        <f t="shared" si="44"/>
        <v>#DIV/0!</v>
      </c>
      <c r="R63" s="54" t="e">
        <f t="shared" si="45"/>
        <v>#DIV/0!</v>
      </c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51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51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50"/>
      <c r="BD63" s="50"/>
      <c r="BE63" s="50"/>
      <c r="BF63" s="25"/>
      <c r="BG63" s="3"/>
      <c r="BH63" s="3"/>
      <c r="BI63" s="3"/>
      <c r="BJ63" s="3"/>
    </row>
    <row r="64" spans="1:62" ht="15.75" customHeight="1" x14ac:dyDescent="0.25">
      <c r="A64" s="113"/>
      <c r="B64" s="84" t="s">
        <v>39</v>
      </c>
      <c r="C64" s="85">
        <f>SUM(C65:C67)</f>
        <v>4884.78</v>
      </c>
      <c r="D64" s="85">
        <f t="shared" ref="D64:I64" si="50">SUM(D65:D67)</f>
        <v>0</v>
      </c>
      <c r="E64" s="85"/>
      <c r="F64" s="85">
        <f t="shared" si="50"/>
        <v>0</v>
      </c>
      <c r="G64" s="85">
        <f t="shared" si="50"/>
        <v>4884.7800000000007</v>
      </c>
      <c r="H64" s="85">
        <f t="shared" si="50"/>
        <v>0</v>
      </c>
      <c r="I64" s="85">
        <f t="shared" si="50"/>
        <v>0</v>
      </c>
      <c r="J64" s="41">
        <f t="shared" si="39"/>
        <v>4884.7800000000007</v>
      </c>
      <c r="K64" s="41">
        <f t="shared" si="40"/>
        <v>0</v>
      </c>
      <c r="L64" s="41">
        <f t="shared" si="41"/>
        <v>0</v>
      </c>
      <c r="M64" s="85">
        <f>SUM(M65:M67)</f>
        <v>0</v>
      </c>
      <c r="N64" s="85">
        <f>SUM(N65:N67)</f>
        <v>0</v>
      </c>
      <c r="O64" s="85">
        <f>SUM(O65:O67)</f>
        <v>0</v>
      </c>
      <c r="P64" s="114">
        <f t="shared" si="43"/>
        <v>1.0000000000000002</v>
      </c>
      <c r="Q64" s="114" t="e">
        <f t="shared" si="44"/>
        <v>#DIV/0!</v>
      </c>
      <c r="R64" s="114" t="e">
        <f t="shared" si="45"/>
        <v>#DIV/0!</v>
      </c>
      <c r="S64" s="85">
        <f t="shared" ref="S64:BE64" si="51">SUM(S65:S67)</f>
        <v>0</v>
      </c>
      <c r="T64" s="85">
        <f t="shared" si="51"/>
        <v>0</v>
      </c>
      <c r="U64" s="85">
        <f t="shared" si="51"/>
        <v>0</v>
      </c>
      <c r="V64" s="85">
        <f t="shared" si="51"/>
        <v>0</v>
      </c>
      <c r="W64" s="85">
        <f t="shared" si="51"/>
        <v>0</v>
      </c>
      <c r="X64" s="85">
        <f t="shared" si="51"/>
        <v>0</v>
      </c>
      <c r="Y64" s="85">
        <f t="shared" si="51"/>
        <v>0</v>
      </c>
      <c r="Z64" s="85">
        <f t="shared" si="51"/>
        <v>0</v>
      </c>
      <c r="AA64" s="85">
        <f t="shared" si="51"/>
        <v>0</v>
      </c>
      <c r="AB64" s="85">
        <f t="shared" si="51"/>
        <v>0</v>
      </c>
      <c r="AC64" s="85">
        <f t="shared" si="51"/>
        <v>0</v>
      </c>
      <c r="AD64" s="85">
        <f t="shared" si="51"/>
        <v>0</v>
      </c>
      <c r="AE64" s="85">
        <f t="shared" si="51"/>
        <v>0</v>
      </c>
      <c r="AF64" s="85">
        <f t="shared" si="51"/>
        <v>0</v>
      </c>
      <c r="AG64" s="85">
        <f t="shared" si="51"/>
        <v>0</v>
      </c>
      <c r="AH64" s="85">
        <f t="shared" si="51"/>
        <v>0</v>
      </c>
      <c r="AI64" s="85">
        <f t="shared" si="51"/>
        <v>0</v>
      </c>
      <c r="AJ64" s="85">
        <f t="shared" si="51"/>
        <v>0</v>
      </c>
      <c r="AK64" s="85">
        <f t="shared" si="51"/>
        <v>0</v>
      </c>
      <c r="AL64" s="85">
        <f t="shared" si="51"/>
        <v>0</v>
      </c>
      <c r="AM64" s="85">
        <f t="shared" si="51"/>
        <v>0</v>
      </c>
      <c r="AN64" s="85">
        <f t="shared" si="51"/>
        <v>0</v>
      </c>
      <c r="AO64" s="85">
        <f t="shared" si="51"/>
        <v>0</v>
      </c>
      <c r="AP64" s="85">
        <f t="shared" si="51"/>
        <v>0</v>
      </c>
      <c r="AQ64" s="85">
        <f t="shared" si="51"/>
        <v>0</v>
      </c>
      <c r="AR64" s="85">
        <f t="shared" si="51"/>
        <v>0</v>
      </c>
      <c r="AS64" s="85">
        <f t="shared" si="51"/>
        <v>0</v>
      </c>
      <c r="AT64" s="85">
        <f t="shared" si="51"/>
        <v>2400</v>
      </c>
      <c r="AU64" s="85">
        <f t="shared" si="51"/>
        <v>0</v>
      </c>
      <c r="AV64" s="85">
        <f t="shared" si="51"/>
        <v>0</v>
      </c>
      <c r="AW64" s="85">
        <f t="shared" si="51"/>
        <v>0</v>
      </c>
      <c r="AX64" s="85">
        <f t="shared" si="51"/>
        <v>0</v>
      </c>
      <c r="AY64" s="85">
        <f t="shared" si="51"/>
        <v>0</v>
      </c>
      <c r="AZ64" s="85">
        <f>SUM(AZ65:AZ67)</f>
        <v>2484.7800000000002</v>
      </c>
      <c r="BA64" s="85">
        <f t="shared" si="51"/>
        <v>0</v>
      </c>
      <c r="BB64" s="85">
        <f t="shared" si="51"/>
        <v>0</v>
      </c>
      <c r="BC64" s="85">
        <f t="shared" si="51"/>
        <v>0</v>
      </c>
      <c r="BD64" s="85">
        <f t="shared" si="51"/>
        <v>0</v>
      </c>
      <c r="BE64" s="85">
        <f t="shared" si="51"/>
        <v>0</v>
      </c>
      <c r="BF64" s="28"/>
      <c r="BG64" s="6"/>
      <c r="BH64" s="6"/>
      <c r="BI64" s="6"/>
      <c r="BJ64" s="6"/>
    </row>
    <row r="65" spans="1:62" ht="15.75" customHeight="1" x14ac:dyDescent="0.25">
      <c r="A65" s="47" t="s">
        <v>100</v>
      </c>
      <c r="B65" s="82" t="s">
        <v>30</v>
      </c>
      <c r="C65" s="50">
        <f>834.78</f>
        <v>834.78</v>
      </c>
      <c r="D65" s="50"/>
      <c r="E65" s="50"/>
      <c r="F65" s="51"/>
      <c r="G65" s="52">
        <f t="shared" ref="G65:I67" si="52">S65+V65+Y65+AB65+AE65+AH65+AK65+AN65+AQ65+AT65+AW65+AZ65</f>
        <v>834.7800000000002</v>
      </c>
      <c r="H65" s="52">
        <f t="shared" si="52"/>
        <v>0</v>
      </c>
      <c r="I65" s="52">
        <f t="shared" si="52"/>
        <v>0</v>
      </c>
      <c r="J65" s="42">
        <f t="shared" si="39"/>
        <v>834.7800000000002</v>
      </c>
      <c r="K65" s="42">
        <f t="shared" si="40"/>
        <v>0</v>
      </c>
      <c r="L65" s="42">
        <f t="shared" si="41"/>
        <v>0</v>
      </c>
      <c r="M65" s="52">
        <f t="shared" ref="M65:N67" si="53">C65-G65</f>
        <v>0</v>
      </c>
      <c r="N65" s="52">
        <f t="shared" si="53"/>
        <v>0</v>
      </c>
      <c r="O65" s="52">
        <f>F65-I65</f>
        <v>0</v>
      </c>
      <c r="P65" s="54">
        <f t="shared" si="43"/>
        <v>1.0000000000000002</v>
      </c>
      <c r="Q65" s="54" t="e">
        <f t="shared" si="44"/>
        <v>#DIV/0!</v>
      </c>
      <c r="R65" s="54" t="e">
        <f t="shared" si="45"/>
        <v>#DIV/0!</v>
      </c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132">
        <f>2484.78-1650</f>
        <v>834.7800000000002</v>
      </c>
      <c r="BA65" s="50"/>
      <c r="BB65" s="50"/>
      <c r="BC65" s="50"/>
      <c r="BD65" s="50"/>
      <c r="BE65" s="50"/>
      <c r="BF65" s="25"/>
      <c r="BG65" s="3"/>
      <c r="BH65" s="3"/>
      <c r="BI65" s="3"/>
      <c r="BJ65" s="3"/>
    </row>
    <row r="66" spans="1:62" ht="15.75" customHeight="1" x14ac:dyDescent="0.25">
      <c r="A66" s="47" t="s">
        <v>101</v>
      </c>
      <c r="B66" s="82" t="s">
        <v>31</v>
      </c>
      <c r="C66" s="50"/>
      <c r="D66" s="50"/>
      <c r="E66" s="50"/>
      <c r="F66" s="51"/>
      <c r="G66" s="52">
        <f t="shared" si="52"/>
        <v>0</v>
      </c>
      <c r="H66" s="52">
        <f t="shared" si="52"/>
        <v>0</v>
      </c>
      <c r="I66" s="52">
        <f t="shared" si="52"/>
        <v>0</v>
      </c>
      <c r="J66" s="42">
        <f t="shared" si="39"/>
        <v>0</v>
      </c>
      <c r="K66" s="42">
        <f t="shared" si="40"/>
        <v>0</v>
      </c>
      <c r="L66" s="42">
        <f t="shared" si="41"/>
        <v>0</v>
      </c>
      <c r="M66" s="52">
        <f t="shared" si="53"/>
        <v>0</v>
      </c>
      <c r="N66" s="52">
        <f t="shared" si="53"/>
        <v>0</v>
      </c>
      <c r="O66" s="52">
        <f>F66-I66</f>
        <v>0</v>
      </c>
      <c r="P66" s="54" t="e">
        <f t="shared" si="43"/>
        <v>#DIV/0!</v>
      </c>
      <c r="Q66" s="54" t="e">
        <f t="shared" si="44"/>
        <v>#DIV/0!</v>
      </c>
      <c r="R66" s="54" t="e">
        <f t="shared" si="45"/>
        <v>#DIV/0!</v>
      </c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25"/>
      <c r="BG66" s="3"/>
      <c r="BH66" s="3"/>
      <c r="BI66" s="3"/>
      <c r="BJ66" s="3"/>
    </row>
    <row r="67" spans="1:62" ht="15.75" customHeight="1" x14ac:dyDescent="0.25">
      <c r="A67" s="47" t="s">
        <v>139</v>
      </c>
      <c r="B67" s="82" t="s">
        <v>40</v>
      </c>
      <c r="C67" s="115">
        <f>2400+1650</f>
        <v>4050</v>
      </c>
      <c r="D67" s="50"/>
      <c r="E67" s="50"/>
      <c r="F67" s="51"/>
      <c r="G67" s="52">
        <f t="shared" si="52"/>
        <v>4050</v>
      </c>
      <c r="H67" s="52">
        <f t="shared" si="52"/>
        <v>0</v>
      </c>
      <c r="I67" s="52">
        <f t="shared" si="52"/>
        <v>0</v>
      </c>
      <c r="J67" s="42">
        <f t="shared" si="39"/>
        <v>4050</v>
      </c>
      <c r="K67" s="42">
        <f t="shared" si="40"/>
        <v>0</v>
      </c>
      <c r="L67" s="42">
        <f t="shared" si="41"/>
        <v>0</v>
      </c>
      <c r="M67" s="52">
        <f t="shared" si="53"/>
        <v>0</v>
      </c>
      <c r="N67" s="52">
        <f t="shared" si="53"/>
        <v>0</v>
      </c>
      <c r="O67" s="52">
        <f>F67-I67</f>
        <v>0</v>
      </c>
      <c r="P67" s="54">
        <f t="shared" si="43"/>
        <v>1</v>
      </c>
      <c r="Q67" s="54" t="e">
        <f t="shared" si="44"/>
        <v>#DIV/0!</v>
      </c>
      <c r="R67" s="54" t="e">
        <f t="shared" si="45"/>
        <v>#DIV/0!</v>
      </c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>
        <v>2400</v>
      </c>
      <c r="AU67" s="50"/>
      <c r="AV67" s="50"/>
      <c r="AW67" s="50"/>
      <c r="AX67" s="50"/>
      <c r="AY67" s="50"/>
      <c r="AZ67" s="50">
        <v>1650</v>
      </c>
      <c r="BA67" s="50"/>
      <c r="BB67" s="50"/>
      <c r="BC67" s="50"/>
      <c r="BD67" s="50"/>
      <c r="BE67" s="50"/>
      <c r="BF67" s="25"/>
      <c r="BG67" s="3"/>
      <c r="BH67" s="3"/>
      <c r="BI67" s="3"/>
      <c r="BJ67" s="3"/>
    </row>
    <row r="68" spans="1:62" ht="15.75" customHeight="1" x14ac:dyDescent="0.25">
      <c r="A68" s="113"/>
      <c r="B68" s="84" t="s">
        <v>41</v>
      </c>
      <c r="C68" s="85">
        <f>SUM(C69:C72)</f>
        <v>94299.67</v>
      </c>
      <c r="D68" s="85">
        <f>SUM(D69:D72)</f>
        <v>31110.16</v>
      </c>
      <c r="E68" s="85"/>
      <c r="F68" s="85">
        <f>SUM(F69:F71)</f>
        <v>0</v>
      </c>
      <c r="G68" s="85">
        <f>SUM(G69:G71)</f>
        <v>20362</v>
      </c>
      <c r="H68" s="85">
        <f>SUM(H69:H71)</f>
        <v>31110.160000000003</v>
      </c>
      <c r="I68" s="85">
        <f>SUM(I69:I71)</f>
        <v>0</v>
      </c>
      <c r="J68" s="41">
        <f t="shared" si="39"/>
        <v>20362</v>
      </c>
      <c r="K68" s="41">
        <f t="shared" si="40"/>
        <v>31110.160000000003</v>
      </c>
      <c r="L68" s="41">
        <f t="shared" si="41"/>
        <v>0</v>
      </c>
      <c r="M68" s="85">
        <f>SUM(M69:M72)</f>
        <v>73937.67</v>
      </c>
      <c r="N68" s="85">
        <f>SUM(N69:N72)</f>
        <v>0</v>
      </c>
      <c r="O68" s="85">
        <f>SUM(O69:O71)</f>
        <v>0</v>
      </c>
      <c r="P68" s="114">
        <f t="shared" si="43"/>
        <v>0.21592864534944819</v>
      </c>
      <c r="Q68" s="114">
        <f t="shared" si="44"/>
        <v>1.0000000000000002</v>
      </c>
      <c r="R68" s="114" t="e">
        <f t="shared" si="45"/>
        <v>#DIV/0!</v>
      </c>
      <c r="S68" s="85">
        <f t="shared" ref="S68:BE68" si="54">SUM(S69:S71)</f>
        <v>0</v>
      </c>
      <c r="T68" s="85">
        <f t="shared" si="54"/>
        <v>0</v>
      </c>
      <c r="U68" s="85">
        <f t="shared" si="54"/>
        <v>0</v>
      </c>
      <c r="V68" s="85">
        <f t="shared" si="54"/>
        <v>0</v>
      </c>
      <c r="W68" s="85">
        <f t="shared" si="54"/>
        <v>356.18</v>
      </c>
      <c r="X68" s="85">
        <f t="shared" si="54"/>
        <v>0</v>
      </c>
      <c r="Y68" s="85">
        <f t="shared" si="54"/>
        <v>0</v>
      </c>
      <c r="Z68" s="85">
        <f t="shared" si="54"/>
        <v>16409.300000000003</v>
      </c>
      <c r="AA68" s="85">
        <f t="shared" si="54"/>
        <v>0</v>
      </c>
      <c r="AB68" s="85">
        <f t="shared" si="54"/>
        <v>0</v>
      </c>
      <c r="AC68" s="85">
        <f t="shared" si="54"/>
        <v>11124.68</v>
      </c>
      <c r="AD68" s="85">
        <f t="shared" si="54"/>
        <v>0</v>
      </c>
      <c r="AE68" s="85">
        <f t="shared" si="54"/>
        <v>0</v>
      </c>
      <c r="AF68" s="85">
        <f t="shared" si="54"/>
        <v>0</v>
      </c>
      <c r="AG68" s="85">
        <f t="shared" si="54"/>
        <v>0</v>
      </c>
      <c r="AH68" s="85">
        <f t="shared" si="54"/>
        <v>780</v>
      </c>
      <c r="AI68" s="85">
        <f t="shared" si="54"/>
        <v>3220</v>
      </c>
      <c r="AJ68" s="85">
        <f t="shared" si="54"/>
        <v>0</v>
      </c>
      <c r="AK68" s="85">
        <f t="shared" si="54"/>
        <v>6850</v>
      </c>
      <c r="AL68" s="85">
        <f t="shared" si="54"/>
        <v>0</v>
      </c>
      <c r="AM68" s="85">
        <f t="shared" si="54"/>
        <v>0</v>
      </c>
      <c r="AN68" s="85">
        <f t="shared" si="54"/>
        <v>0</v>
      </c>
      <c r="AO68" s="85">
        <f t="shared" si="54"/>
        <v>0</v>
      </c>
      <c r="AP68" s="85">
        <f t="shared" si="54"/>
        <v>0</v>
      </c>
      <c r="AQ68" s="85">
        <f t="shared" si="54"/>
        <v>6000</v>
      </c>
      <c r="AR68" s="85">
        <f t="shared" si="54"/>
        <v>0</v>
      </c>
      <c r="AS68" s="85">
        <f t="shared" si="54"/>
        <v>0</v>
      </c>
      <c r="AT68" s="85">
        <f t="shared" si="54"/>
        <v>132</v>
      </c>
      <c r="AU68" s="85">
        <f t="shared" si="54"/>
        <v>0</v>
      </c>
      <c r="AV68" s="85">
        <f t="shared" si="54"/>
        <v>0</v>
      </c>
      <c r="AW68" s="85">
        <f t="shared" si="54"/>
        <v>6600</v>
      </c>
      <c r="AX68" s="85">
        <f t="shared" si="54"/>
        <v>0</v>
      </c>
      <c r="AY68" s="85">
        <f t="shared" si="54"/>
        <v>0</v>
      </c>
      <c r="AZ68" s="85">
        <f t="shared" si="54"/>
        <v>0</v>
      </c>
      <c r="BA68" s="85">
        <f t="shared" si="54"/>
        <v>0</v>
      </c>
      <c r="BB68" s="85">
        <f t="shared" si="54"/>
        <v>0</v>
      </c>
      <c r="BC68" s="85">
        <f t="shared" si="54"/>
        <v>0</v>
      </c>
      <c r="BD68" s="85">
        <f t="shared" si="54"/>
        <v>0</v>
      </c>
      <c r="BE68" s="85">
        <f t="shared" si="54"/>
        <v>0</v>
      </c>
      <c r="BF68" s="28"/>
      <c r="BG68" s="6"/>
      <c r="BH68" s="6"/>
      <c r="BI68" s="6"/>
      <c r="BJ68" s="6"/>
    </row>
    <row r="69" spans="1:62" ht="15.75" customHeight="1" x14ac:dyDescent="0.25">
      <c r="A69" s="59" t="s">
        <v>139</v>
      </c>
      <c r="B69" s="48" t="s">
        <v>94</v>
      </c>
      <c r="C69" s="115"/>
      <c r="D69" s="50"/>
      <c r="E69" s="50"/>
      <c r="F69" s="51"/>
      <c r="G69" s="52">
        <f t="shared" ref="G69:I70" si="55">S69+V69+Y69+AB69+AE69+AH69+AK69+AN69+AQ69+AT69+AW69+AZ69</f>
        <v>0</v>
      </c>
      <c r="H69" s="52">
        <f t="shared" si="55"/>
        <v>0</v>
      </c>
      <c r="I69" s="52">
        <f t="shared" si="55"/>
        <v>0</v>
      </c>
      <c r="J69" s="42">
        <f t="shared" si="39"/>
        <v>0</v>
      </c>
      <c r="K69" s="42">
        <f t="shared" si="40"/>
        <v>0</v>
      </c>
      <c r="L69" s="42">
        <f t="shared" si="41"/>
        <v>0</v>
      </c>
      <c r="M69" s="52">
        <f t="shared" ref="M69:N72" si="56">C69-G69</f>
        <v>0</v>
      </c>
      <c r="N69" s="52">
        <f t="shared" si="56"/>
        <v>0</v>
      </c>
      <c r="O69" s="52">
        <f>F69-I69</f>
        <v>0</v>
      </c>
      <c r="P69" s="54" t="e">
        <f t="shared" si="43"/>
        <v>#DIV/0!</v>
      </c>
      <c r="Q69" s="54" t="e">
        <f t="shared" si="44"/>
        <v>#DIV/0!</v>
      </c>
      <c r="R69" s="54" t="e">
        <f t="shared" si="45"/>
        <v>#DIV/0!</v>
      </c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25"/>
      <c r="BG69" s="3"/>
      <c r="BH69" s="3"/>
      <c r="BI69" s="3"/>
      <c r="BJ69" s="3"/>
    </row>
    <row r="70" spans="1:62" ht="15.75" customHeight="1" x14ac:dyDescent="0.25">
      <c r="A70" s="59" t="s">
        <v>140</v>
      </c>
      <c r="B70" s="48" t="s">
        <v>95</v>
      </c>
      <c r="C70" s="51">
        <f>132</f>
        <v>132</v>
      </c>
      <c r="D70" s="72"/>
      <c r="E70" s="72"/>
      <c r="F70" s="51"/>
      <c r="G70" s="52">
        <f t="shared" si="55"/>
        <v>132</v>
      </c>
      <c r="H70" s="52">
        <f t="shared" si="55"/>
        <v>0</v>
      </c>
      <c r="I70" s="52">
        <f t="shared" si="55"/>
        <v>0</v>
      </c>
      <c r="J70" s="42">
        <f t="shared" si="39"/>
        <v>132</v>
      </c>
      <c r="K70" s="42">
        <f t="shared" si="40"/>
        <v>0</v>
      </c>
      <c r="L70" s="42">
        <f t="shared" si="41"/>
        <v>0</v>
      </c>
      <c r="M70" s="52">
        <f t="shared" si="56"/>
        <v>0</v>
      </c>
      <c r="N70" s="52">
        <f t="shared" si="56"/>
        <v>0</v>
      </c>
      <c r="O70" s="52">
        <f>F70-I70</f>
        <v>0</v>
      </c>
      <c r="P70" s="54">
        <f t="shared" si="43"/>
        <v>1</v>
      </c>
      <c r="Q70" s="54" t="e">
        <f t="shared" si="44"/>
        <v>#DIV/0!</v>
      </c>
      <c r="R70" s="54" t="e">
        <f t="shared" si="45"/>
        <v>#DIV/0!</v>
      </c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>
        <v>132</v>
      </c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25"/>
      <c r="BG70" s="3"/>
      <c r="BH70" s="3"/>
      <c r="BI70" s="3"/>
      <c r="BJ70" s="3"/>
    </row>
    <row r="71" spans="1:62" ht="15.75" x14ac:dyDescent="0.25">
      <c r="A71" s="59" t="s">
        <v>141</v>
      </c>
      <c r="B71" s="116" t="s">
        <v>96</v>
      </c>
      <c r="C71" s="77">
        <f>6850+7850+29467.67+50000</f>
        <v>94167.67</v>
      </c>
      <c r="D71" s="62">
        <f>25531.62+2000+3578.54</f>
        <v>31110.16</v>
      </c>
      <c r="E71" s="62"/>
      <c r="F71" s="51"/>
      <c r="G71" s="52">
        <f t="shared" ref="G71:I72" si="57">S71+V71+Y71+AB71+AE71+AH71+AK71+AN71+AQ71+AT71+AW71+AZ71</f>
        <v>20230</v>
      </c>
      <c r="H71" s="52">
        <f t="shared" si="57"/>
        <v>31110.160000000003</v>
      </c>
      <c r="I71" s="52">
        <f t="shared" si="57"/>
        <v>0</v>
      </c>
      <c r="J71" s="42">
        <f t="shared" si="39"/>
        <v>20230</v>
      </c>
      <c r="K71" s="42">
        <f t="shared" si="40"/>
        <v>31110.160000000003</v>
      </c>
      <c r="L71" s="42">
        <f t="shared" si="41"/>
        <v>0</v>
      </c>
      <c r="M71" s="52">
        <f t="shared" si="56"/>
        <v>73937.67</v>
      </c>
      <c r="N71" s="52">
        <f>D71-H71</f>
        <v>0</v>
      </c>
      <c r="O71" s="52">
        <f>F71-I71</f>
        <v>0</v>
      </c>
      <c r="P71" s="54">
        <f t="shared" si="43"/>
        <v>0.21482956942653461</v>
      </c>
      <c r="Q71" s="54">
        <f t="shared" si="44"/>
        <v>1.0000000000000002</v>
      </c>
      <c r="R71" s="54" t="e">
        <f t="shared" si="45"/>
        <v>#DIV/0!</v>
      </c>
      <c r="S71" s="50"/>
      <c r="T71" s="50"/>
      <c r="U71" s="50"/>
      <c r="V71" s="50"/>
      <c r="W71" s="50">
        <f>221.36+352-217.18</f>
        <v>356.18</v>
      </c>
      <c r="X71" s="50"/>
      <c r="Y71" s="50"/>
      <c r="Z71" s="50">
        <f>1760+1360+2000+640+768+3840+1106.78+2448+768+153.6+489.6+1075.32</f>
        <v>16409.300000000003</v>
      </c>
      <c r="AA71" s="50"/>
      <c r="AB71" s="50"/>
      <c r="AC71" s="50">
        <f>1075.68+1683+1683+1683+2500+2500</f>
        <v>11124.68</v>
      </c>
      <c r="AD71" s="50"/>
      <c r="AE71" s="50"/>
      <c r="AF71" s="50"/>
      <c r="AG71" s="50"/>
      <c r="AH71" s="50">
        <f>780</f>
        <v>780</v>
      </c>
      <c r="AI71" s="50">
        <f>2000+1220</f>
        <v>3220</v>
      </c>
      <c r="AJ71" s="50"/>
      <c r="AK71" s="50">
        <v>6850</v>
      </c>
      <c r="AL71" s="50"/>
      <c r="AM71" s="50"/>
      <c r="AN71" s="50"/>
      <c r="AO71" s="50"/>
      <c r="AP71" s="50"/>
      <c r="AQ71" s="50">
        <f>400+3600+1000+1000</f>
        <v>6000</v>
      </c>
      <c r="AR71" s="50"/>
      <c r="AS71" s="50"/>
      <c r="AT71" s="50"/>
      <c r="AU71" s="50"/>
      <c r="AV71" s="50"/>
      <c r="AW71" s="50">
        <f>1000+1000+1000+3600</f>
        <v>6600</v>
      </c>
      <c r="AX71" s="50"/>
      <c r="AY71" s="50"/>
      <c r="AZ71" s="50"/>
      <c r="BA71" s="50"/>
      <c r="BB71" s="50"/>
      <c r="BC71" s="50"/>
      <c r="BD71" s="50"/>
      <c r="BE71" s="50"/>
      <c r="BF71" s="25"/>
      <c r="BG71" s="3"/>
      <c r="BH71" s="3"/>
      <c r="BI71" s="3"/>
      <c r="BJ71" s="3"/>
    </row>
    <row r="72" spans="1:62" s="17" customFormat="1" ht="15.75" x14ac:dyDescent="0.25">
      <c r="A72" s="59" t="s">
        <v>118</v>
      </c>
      <c r="B72" s="68" t="s">
        <v>115</v>
      </c>
      <c r="C72" s="67"/>
      <c r="D72" s="67"/>
      <c r="E72" s="62"/>
      <c r="F72" s="51"/>
      <c r="G72" s="117">
        <f>S72+Y72+AB72+AE72+AH72+AK72+AN72+AQ72+AT72+AW72+AZ72</f>
        <v>0</v>
      </c>
      <c r="H72" s="52">
        <f>T72+Z72+AC72+AF72+AI72+AL72+AO72+AR72+AU72+AX72+BA72</f>
        <v>0</v>
      </c>
      <c r="I72" s="52">
        <f t="shared" si="57"/>
        <v>0</v>
      </c>
      <c r="J72" s="42">
        <f>IF(BC72=0,SUM(S72+Y72+AB72+AE72+AH72+AK72+AN72+AQ72+AT72+AW72+AZ72),BC72)</f>
        <v>0</v>
      </c>
      <c r="K72" s="42">
        <f>IF(BD72=0,SUM(T72+Z72+AC72+AF72+AI72+AL72+AO72+AR72+AU72+AX72+BA72),BD72)</f>
        <v>0</v>
      </c>
      <c r="L72" s="42">
        <f t="shared" si="41"/>
        <v>0</v>
      </c>
      <c r="M72" s="52">
        <f t="shared" si="56"/>
        <v>0</v>
      </c>
      <c r="N72" s="52">
        <f>D72-H72</f>
        <v>0</v>
      </c>
      <c r="O72" s="52">
        <f>F72-I72</f>
        <v>0</v>
      </c>
      <c r="P72" s="54">
        <f>G72/C31</f>
        <v>0</v>
      </c>
      <c r="Q72" s="54">
        <f>H72/D31</f>
        <v>0</v>
      </c>
      <c r="R72" s="54" t="e">
        <f t="shared" si="45"/>
        <v>#DIV/0!</v>
      </c>
      <c r="S72" s="50"/>
      <c r="T72" s="50"/>
      <c r="U72" s="50"/>
      <c r="V72" s="67"/>
      <c r="W72" s="67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25"/>
      <c r="BG72" s="3"/>
      <c r="BH72" s="3"/>
      <c r="BI72" s="3"/>
      <c r="BJ72" s="3"/>
    </row>
    <row r="73" spans="1:62" ht="15.75" customHeight="1" x14ac:dyDescent="0.25">
      <c r="A73" s="113"/>
      <c r="B73" s="84" t="s">
        <v>42</v>
      </c>
      <c r="C73" s="85">
        <f>SUM(C75:C79)</f>
        <v>0</v>
      </c>
      <c r="D73" s="85">
        <f>SUM(D75:D79)</f>
        <v>419086</v>
      </c>
      <c r="E73" s="85"/>
      <c r="F73" s="85">
        <f>SUM(F75:F79)</f>
        <v>79000</v>
      </c>
      <c r="G73" s="85">
        <f>SUM(G75:G79)</f>
        <v>0</v>
      </c>
      <c r="H73" s="85">
        <f>SUM(H75:H79)</f>
        <v>419086</v>
      </c>
      <c r="I73" s="85">
        <f>SUM(I75:I79)</f>
        <v>1820</v>
      </c>
      <c r="J73" s="41">
        <f t="shared" ref="J73:J87" si="58">IF(BC73=0,SUM(S73+V73+Y73+AB73+AE73+AH73+AK73+AN73+AQ73+AT73+AW73+AZ73),BC73)</f>
        <v>0</v>
      </c>
      <c r="K73" s="41">
        <f t="shared" ref="K73:K87" si="59">IF(BD73=0,SUM(T73+W73+Z73+AC73+AF73+AI73+AL73+AO73+AR73+AU73+AX73+BA73),BD73)</f>
        <v>419086</v>
      </c>
      <c r="L73" s="41">
        <f t="shared" ref="L73:L87" si="60">IF(BE73=0,SUM(U73+X73+AA73+AD73+AG73+AJ73+AM73+AP73+AS73+AV73+AY73+BB73),BE73)</f>
        <v>1820</v>
      </c>
      <c r="M73" s="85">
        <f>SUM(M75:M79)</f>
        <v>0</v>
      </c>
      <c r="N73" s="85">
        <f>SUM(N75:N79)</f>
        <v>0</v>
      </c>
      <c r="O73" s="85">
        <f>SUM(O75:O79)</f>
        <v>77180</v>
      </c>
      <c r="P73" s="114" t="e">
        <f t="shared" ref="P73:P87" si="61">G73/C73</f>
        <v>#DIV/0!</v>
      </c>
      <c r="Q73" s="114">
        <f t="shared" ref="Q73:Q89" si="62">H73/D73</f>
        <v>1</v>
      </c>
      <c r="R73" s="114">
        <f t="shared" ref="R73:R86" si="63">I73/F73</f>
        <v>2.3037974683544304E-2</v>
      </c>
      <c r="S73" s="85">
        <f>SUM(S75:S79)</f>
        <v>0</v>
      </c>
      <c r="T73" s="85">
        <f>SUM(T75:T79)</f>
        <v>0</v>
      </c>
      <c r="U73" s="85">
        <f>SUM(U75:U79)</f>
        <v>0</v>
      </c>
      <c r="V73" s="85">
        <f>SUM(V75:V79)</f>
        <v>0</v>
      </c>
      <c r="W73" s="85">
        <f>SUM(W75:W79)</f>
        <v>0</v>
      </c>
      <c r="X73" s="85">
        <f>SUM(X75:X79)</f>
        <v>0</v>
      </c>
      <c r="Y73" s="85">
        <f>SUM(Y75:Y79)</f>
        <v>0</v>
      </c>
      <c r="Z73" s="85">
        <f>SUM(Z75:Z79)</f>
        <v>74011</v>
      </c>
      <c r="AA73" s="85">
        <f>SUM(AA75:AA79)</f>
        <v>0</v>
      </c>
      <c r="AB73" s="85">
        <f>SUM(AB75:AB79)</f>
        <v>0</v>
      </c>
      <c r="AC73" s="85">
        <f>SUM(AC75:AC79)</f>
        <v>297825</v>
      </c>
      <c r="AD73" s="85">
        <f>SUM(AD75:AD79)</f>
        <v>0</v>
      </c>
      <c r="AE73" s="85">
        <f>SUM(AE75:AE79)</f>
        <v>0</v>
      </c>
      <c r="AF73" s="85">
        <f>SUM(AF75:AF79)</f>
        <v>41800</v>
      </c>
      <c r="AG73" s="85">
        <f>SUM(AG75:AG79)</f>
        <v>0</v>
      </c>
      <c r="AH73" s="85">
        <f>SUM(AH75:AH79)</f>
        <v>0</v>
      </c>
      <c r="AI73" s="85">
        <f>SUM(AI75:AI79)</f>
        <v>5450</v>
      </c>
      <c r="AJ73" s="85">
        <f>SUM(AJ75:AJ79)</f>
        <v>0</v>
      </c>
      <c r="AK73" s="85">
        <f>SUM(AK75:AK79)</f>
        <v>0</v>
      </c>
      <c r="AL73" s="85">
        <f>SUM(AL75:AL79)</f>
        <v>0</v>
      </c>
      <c r="AM73" s="85">
        <f>SUM(AM75:AM79)</f>
        <v>0</v>
      </c>
      <c r="AN73" s="85">
        <f>SUM(AN75:AN79)</f>
        <v>0</v>
      </c>
      <c r="AO73" s="85">
        <f>SUM(AO75:AO79)</f>
        <v>0</v>
      </c>
      <c r="AP73" s="85">
        <f>SUM(AP75:AP79)</f>
        <v>0</v>
      </c>
      <c r="AQ73" s="85">
        <f>SUM(AQ75:AQ79)</f>
        <v>0</v>
      </c>
      <c r="AR73" s="85">
        <f>SUM(AR75:AR79)</f>
        <v>0</v>
      </c>
      <c r="AS73" s="85">
        <f>SUM(AS75:AS79)</f>
        <v>0</v>
      </c>
      <c r="AT73" s="85">
        <f>SUM(AT75:AT79)</f>
        <v>0</v>
      </c>
      <c r="AU73" s="85">
        <f>SUM(AU75:AU79)</f>
        <v>0</v>
      </c>
      <c r="AV73" s="85">
        <f>SUM(AV75:AV79)</f>
        <v>0</v>
      </c>
      <c r="AW73" s="85">
        <f>SUM(AW75:AW79)</f>
        <v>0</v>
      </c>
      <c r="AX73" s="85">
        <f>SUM(AX75:AX79)</f>
        <v>0</v>
      </c>
      <c r="AY73" s="85">
        <f>SUM(AY75:AY79)</f>
        <v>1820</v>
      </c>
      <c r="AZ73" s="85">
        <f>SUM(AZ75:AZ79)</f>
        <v>0</v>
      </c>
      <c r="BA73" s="85">
        <f>SUM(BA75:BA79)</f>
        <v>0</v>
      </c>
      <c r="BB73" s="85">
        <f>SUM(BB75:BB79)</f>
        <v>0</v>
      </c>
      <c r="BC73" s="85">
        <f>SUM(BC75:BC79)</f>
        <v>0</v>
      </c>
      <c r="BD73" s="85">
        <f>SUM(BD75:BD79)</f>
        <v>0</v>
      </c>
      <c r="BE73" s="85">
        <f>SUM(BE75:BE79)</f>
        <v>0</v>
      </c>
      <c r="BF73" s="28"/>
      <c r="BG73" s="6"/>
      <c r="BH73" s="6"/>
      <c r="BI73" s="6"/>
      <c r="BJ73" s="6"/>
    </row>
    <row r="74" spans="1:62" s="154" customFormat="1" ht="15.75" customHeight="1" x14ac:dyDescent="0.25">
      <c r="A74" s="88"/>
      <c r="B74" s="89" t="s">
        <v>164</v>
      </c>
      <c r="C74" s="92"/>
      <c r="D74" s="92"/>
      <c r="E74" s="92"/>
      <c r="F74" s="92"/>
      <c r="G74" s="93"/>
      <c r="H74" s="93"/>
      <c r="I74" s="93"/>
      <c r="J74" s="42"/>
      <c r="K74" s="42"/>
      <c r="L74" s="42"/>
      <c r="M74" s="93"/>
      <c r="N74" s="93"/>
      <c r="O74" s="93"/>
      <c r="P74" s="94"/>
      <c r="Q74" s="94"/>
      <c r="R74" s="94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50"/>
      <c r="BD74" s="50"/>
      <c r="BE74" s="50"/>
      <c r="BF74" s="29"/>
      <c r="BG74" s="8"/>
      <c r="BH74" s="8"/>
      <c r="BI74" s="8"/>
      <c r="BJ74" s="8"/>
    </row>
    <row r="75" spans="1:62" s="154" customFormat="1" ht="15.75" customHeight="1" x14ac:dyDescent="0.25">
      <c r="A75" s="156" t="s">
        <v>142</v>
      </c>
      <c r="B75" s="170" t="s">
        <v>44</v>
      </c>
      <c r="C75" s="92"/>
      <c r="D75" s="92">
        <f>74011+297825+41800+5450</f>
        <v>419086</v>
      </c>
      <c r="E75" s="92"/>
      <c r="F75" s="92"/>
      <c r="G75" s="93">
        <f t="shared" ref="G75:I79" si="64">S75+V75+Y75+AB75+AE75+AH75+AK75+AN75+AQ75+AT75+AW75+AZ75</f>
        <v>0</v>
      </c>
      <c r="H75" s="52">
        <f t="shared" si="64"/>
        <v>419086</v>
      </c>
      <c r="I75" s="93">
        <f t="shared" si="64"/>
        <v>0</v>
      </c>
      <c r="J75" s="42">
        <f t="shared" si="58"/>
        <v>0</v>
      </c>
      <c r="K75" s="42">
        <f t="shared" si="59"/>
        <v>419086</v>
      </c>
      <c r="L75" s="42">
        <f t="shared" si="60"/>
        <v>0</v>
      </c>
      <c r="M75" s="93">
        <f t="shared" ref="M75:N79" si="65">C75-G75</f>
        <v>0</v>
      </c>
      <c r="N75" s="93">
        <f t="shared" si="65"/>
        <v>0</v>
      </c>
      <c r="O75" s="93">
        <f>F75-I75</f>
        <v>0</v>
      </c>
      <c r="P75" s="94" t="e">
        <f t="shared" si="61"/>
        <v>#DIV/0!</v>
      </c>
      <c r="Q75" s="94">
        <f t="shared" si="62"/>
        <v>1</v>
      </c>
      <c r="R75" s="94" t="e">
        <f t="shared" si="63"/>
        <v>#DIV/0!</v>
      </c>
      <c r="S75" s="90"/>
      <c r="T75" s="90"/>
      <c r="U75" s="90"/>
      <c r="V75" s="90"/>
      <c r="W75" s="90"/>
      <c r="X75" s="90"/>
      <c r="Y75" s="90"/>
      <c r="Z75" s="90">
        <f>74011</f>
        <v>74011</v>
      </c>
      <c r="AA75" s="90"/>
      <c r="AB75" s="90"/>
      <c r="AC75" s="90">
        <v>297825</v>
      </c>
      <c r="AD75" s="90"/>
      <c r="AE75" s="90"/>
      <c r="AF75" s="90">
        <v>41800</v>
      </c>
      <c r="AG75" s="90"/>
      <c r="AH75" s="95"/>
      <c r="AI75" s="95">
        <v>5450</v>
      </c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50"/>
      <c r="BD75" s="50"/>
      <c r="BE75" s="50"/>
      <c r="BF75" s="29"/>
      <c r="BG75" s="8"/>
      <c r="BH75" s="8"/>
      <c r="BI75" s="8"/>
      <c r="BJ75" s="8"/>
    </row>
    <row r="76" spans="1:62" s="154" customFormat="1" ht="15.75" customHeight="1" x14ac:dyDescent="0.25">
      <c r="A76" s="47" t="s">
        <v>142</v>
      </c>
      <c r="B76" s="118" t="s">
        <v>174</v>
      </c>
      <c r="C76" s="119"/>
      <c r="D76" s="121"/>
      <c r="E76" s="121"/>
      <c r="F76" s="171">
        <f>1820+24620+52560</f>
        <v>79000</v>
      </c>
      <c r="G76" s="93">
        <f t="shared" si="64"/>
        <v>0</v>
      </c>
      <c r="H76" s="52">
        <f t="shared" si="64"/>
        <v>0</v>
      </c>
      <c r="I76" s="93">
        <f t="shared" si="64"/>
        <v>1820</v>
      </c>
      <c r="J76" s="42">
        <f t="shared" si="58"/>
        <v>0</v>
      </c>
      <c r="K76" s="42">
        <f t="shared" si="59"/>
        <v>0</v>
      </c>
      <c r="L76" s="42">
        <f t="shared" si="60"/>
        <v>1820</v>
      </c>
      <c r="M76" s="93">
        <f t="shared" si="65"/>
        <v>0</v>
      </c>
      <c r="N76" s="93">
        <f t="shared" si="65"/>
        <v>0</v>
      </c>
      <c r="O76" s="93">
        <f>F76-I76</f>
        <v>77180</v>
      </c>
      <c r="P76" s="94" t="e">
        <f t="shared" si="61"/>
        <v>#DIV/0!</v>
      </c>
      <c r="Q76" s="94" t="e">
        <f t="shared" si="62"/>
        <v>#DIV/0!</v>
      </c>
      <c r="R76" s="94">
        <f t="shared" si="63"/>
        <v>2.3037974683544304E-2</v>
      </c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>
        <v>1820</v>
      </c>
      <c r="AZ76" s="122"/>
      <c r="BA76" s="122"/>
      <c r="BB76" s="122"/>
      <c r="BC76" s="50"/>
      <c r="BD76" s="50"/>
      <c r="BE76" s="50"/>
      <c r="BF76" s="25"/>
      <c r="BG76" s="3"/>
      <c r="BH76" s="3"/>
      <c r="BI76" s="3"/>
      <c r="BJ76" s="3"/>
    </row>
    <row r="77" spans="1:62" s="154" customFormat="1" ht="15.75" hidden="1" customHeight="1" x14ac:dyDescent="0.25">
      <c r="A77" s="47" t="s">
        <v>122</v>
      </c>
      <c r="B77" s="118" t="s">
        <v>43</v>
      </c>
      <c r="C77" s="119"/>
      <c r="D77" s="121"/>
      <c r="E77" s="121"/>
      <c r="F77" s="122"/>
      <c r="G77" s="93">
        <f t="shared" si="64"/>
        <v>0</v>
      </c>
      <c r="H77" s="52">
        <f t="shared" si="64"/>
        <v>0</v>
      </c>
      <c r="I77" s="93">
        <f t="shared" si="64"/>
        <v>0</v>
      </c>
      <c r="J77" s="42">
        <f t="shared" si="58"/>
        <v>0</v>
      </c>
      <c r="K77" s="42">
        <f t="shared" si="59"/>
        <v>0</v>
      </c>
      <c r="L77" s="42">
        <f t="shared" si="60"/>
        <v>0</v>
      </c>
      <c r="M77" s="93">
        <f t="shared" si="65"/>
        <v>0</v>
      </c>
      <c r="N77" s="93">
        <f t="shared" si="65"/>
        <v>0</v>
      </c>
      <c r="O77" s="93">
        <f t="shared" ref="O77:O78" si="66">F77-I77</f>
        <v>0</v>
      </c>
      <c r="P77" s="94" t="e">
        <f t="shared" si="61"/>
        <v>#DIV/0!</v>
      </c>
      <c r="Q77" s="94" t="e">
        <f t="shared" si="62"/>
        <v>#DIV/0!</v>
      </c>
      <c r="R77" s="94" t="e">
        <f t="shared" si="63"/>
        <v>#DIV/0!</v>
      </c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50"/>
      <c r="BD77" s="50"/>
      <c r="BE77" s="50"/>
      <c r="BF77" s="25"/>
      <c r="BG77" s="3"/>
      <c r="BH77" s="3"/>
      <c r="BI77" s="3"/>
      <c r="BJ77" s="3"/>
    </row>
    <row r="78" spans="1:62" ht="15.75" hidden="1" customHeight="1" x14ac:dyDescent="0.25">
      <c r="A78" s="47" t="s">
        <v>143</v>
      </c>
      <c r="B78" s="82" t="s">
        <v>45</v>
      </c>
      <c r="C78" s="50"/>
      <c r="D78" s="50"/>
      <c r="E78" s="50"/>
      <c r="F78" s="50"/>
      <c r="G78" s="52">
        <f t="shared" si="64"/>
        <v>0</v>
      </c>
      <c r="H78" s="52">
        <f t="shared" si="64"/>
        <v>0</v>
      </c>
      <c r="I78" s="52">
        <f t="shared" si="64"/>
        <v>0</v>
      </c>
      <c r="J78" s="42">
        <f t="shared" si="58"/>
        <v>0</v>
      </c>
      <c r="K78" s="42">
        <f t="shared" si="59"/>
        <v>0</v>
      </c>
      <c r="L78" s="42">
        <f t="shared" si="60"/>
        <v>0</v>
      </c>
      <c r="M78" s="52">
        <f t="shared" si="65"/>
        <v>0</v>
      </c>
      <c r="N78" s="93">
        <f t="shared" si="65"/>
        <v>0</v>
      </c>
      <c r="O78" s="93">
        <f t="shared" si="66"/>
        <v>0</v>
      </c>
      <c r="P78" s="54" t="e">
        <f t="shared" si="61"/>
        <v>#DIV/0!</v>
      </c>
      <c r="Q78" s="54" t="e">
        <f t="shared" si="62"/>
        <v>#DIV/0!</v>
      </c>
      <c r="R78" s="54" t="e">
        <f t="shared" si="63"/>
        <v>#DIV/0!</v>
      </c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25"/>
      <c r="BG78" s="3"/>
      <c r="BH78" s="3"/>
      <c r="BI78" s="3"/>
      <c r="BJ78" s="3"/>
    </row>
    <row r="79" spans="1:62" ht="15.75" hidden="1" customHeight="1" x14ac:dyDescent="0.25">
      <c r="A79" s="47" t="s">
        <v>144</v>
      </c>
      <c r="B79" s="82" t="s">
        <v>37</v>
      </c>
      <c r="C79" s="50"/>
      <c r="D79" s="50"/>
      <c r="E79" s="50"/>
      <c r="F79" s="50"/>
      <c r="G79" s="52">
        <f t="shared" si="64"/>
        <v>0</v>
      </c>
      <c r="H79" s="52">
        <f t="shared" si="64"/>
        <v>0</v>
      </c>
      <c r="I79" s="52">
        <f t="shared" si="64"/>
        <v>0</v>
      </c>
      <c r="J79" s="42">
        <f t="shared" si="58"/>
        <v>0</v>
      </c>
      <c r="K79" s="42">
        <f t="shared" si="59"/>
        <v>0</v>
      </c>
      <c r="L79" s="42">
        <f t="shared" si="60"/>
        <v>0</v>
      </c>
      <c r="M79" s="52">
        <f t="shared" si="65"/>
        <v>0</v>
      </c>
      <c r="N79" s="52">
        <f t="shared" si="65"/>
        <v>0</v>
      </c>
      <c r="O79" s="52">
        <f>F79-I79</f>
        <v>0</v>
      </c>
      <c r="P79" s="54" t="e">
        <f t="shared" si="61"/>
        <v>#DIV/0!</v>
      </c>
      <c r="Q79" s="54" t="e">
        <f t="shared" si="62"/>
        <v>#DIV/0!</v>
      </c>
      <c r="R79" s="54" t="e">
        <f t="shared" si="63"/>
        <v>#DIV/0!</v>
      </c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25"/>
      <c r="BG79" s="3"/>
      <c r="BH79" s="3"/>
      <c r="BI79" s="3"/>
      <c r="BJ79" s="3"/>
    </row>
    <row r="80" spans="1:62" ht="21" x14ac:dyDescent="0.25">
      <c r="A80" s="44" t="s">
        <v>46</v>
      </c>
      <c r="B80" s="44"/>
      <c r="C80" s="45">
        <f>C81+C91+C94+C109+C113+C117</f>
        <v>225786.68</v>
      </c>
      <c r="D80" s="45">
        <f>D81+D91+D94+D109+D113+D117</f>
        <v>314448.07</v>
      </c>
      <c r="E80" s="45">
        <f>E81+E91+E94+E109+E113+E117</f>
        <v>5588.05</v>
      </c>
      <c r="F80" s="45">
        <f>F81+F91+F94+F109+F113+F117</f>
        <v>703534.97000000009</v>
      </c>
      <c r="G80" s="45">
        <f>G81+G91+G94+G109+G113+G117</f>
        <v>21230</v>
      </c>
      <c r="H80" s="45">
        <f>H81+H91+H94+H109+H113+H117</f>
        <v>294667</v>
      </c>
      <c r="I80" s="45">
        <f>I81+I91+I94+I109+I113+I117</f>
        <v>236053.18</v>
      </c>
      <c r="J80" s="45">
        <f t="shared" si="58"/>
        <v>21230</v>
      </c>
      <c r="K80" s="45">
        <f t="shared" si="59"/>
        <v>294667.00000000006</v>
      </c>
      <c r="L80" s="45">
        <f t="shared" si="60"/>
        <v>236053.17999999996</v>
      </c>
      <c r="M80" s="45">
        <f>M81+M91+M94+M109+M113+M117</f>
        <v>204556.68</v>
      </c>
      <c r="N80" s="45">
        <f>N81+N91+N94+N109+N113+N117</f>
        <v>14193.020000000011</v>
      </c>
      <c r="O80" s="45">
        <f>O81+O91+O94+O109+O113+O117</f>
        <v>467481.79</v>
      </c>
      <c r="P80" s="46">
        <f t="shared" si="61"/>
        <v>9.4026804415566059E-2</v>
      </c>
      <c r="Q80" s="46">
        <f t="shared" si="62"/>
        <v>0.93709272885662809</v>
      </c>
      <c r="R80" s="46">
        <f t="shared" si="63"/>
        <v>0.33552444450629082</v>
      </c>
      <c r="S80" s="45">
        <f>S81+S91+S94+S109+S113+S117</f>
        <v>0</v>
      </c>
      <c r="T80" s="45">
        <f>T81+T91+T94+T109+T113+T117</f>
        <v>3905.01</v>
      </c>
      <c r="U80" s="45">
        <f>U81+U91+U94+U109+U113+U117</f>
        <v>0</v>
      </c>
      <c r="V80" s="45">
        <f>V81+V91+V94+V109+V113+V117</f>
        <v>0</v>
      </c>
      <c r="W80" s="45">
        <f>W81+W91+W94+W109+W113+W117</f>
        <v>40162.520000000004</v>
      </c>
      <c r="X80" s="45">
        <f>X81+X91+X94+X109+X113+X117</f>
        <v>0</v>
      </c>
      <c r="Y80" s="45">
        <f>Y81+Y91+Y94+Y109+Y113+Y117</f>
        <v>0</v>
      </c>
      <c r="Z80" s="45">
        <f>Z81+Z91+Z94+Z109+Z113+Z117</f>
        <v>71236.800000000003</v>
      </c>
      <c r="AA80" s="45">
        <f>AA81+AA91+AA94+AA109+AA113+AA117</f>
        <v>0</v>
      </c>
      <c r="AB80" s="45">
        <f>AB81+AB91+AB94+AB109+AB113+AB117</f>
        <v>0</v>
      </c>
      <c r="AC80" s="45">
        <f>AC81+AC91+AC94+AC109+AC113+AC117</f>
        <v>2289.6799999999998</v>
      </c>
      <c r="AD80" s="45">
        <f>AD81+AD91+AD94+AD109+AD113+AD117</f>
        <v>0</v>
      </c>
      <c r="AE80" s="45">
        <f>AE81+AE91+AE94+AE109+AE113+AE117</f>
        <v>0</v>
      </c>
      <c r="AF80" s="45">
        <f>AF81+AF91+AF94+AF109+AF113+AF117</f>
        <v>18570.449999999997</v>
      </c>
      <c r="AG80" s="45">
        <f>AG81+AG91+AG94+AG109+AG113+AG117</f>
        <v>0</v>
      </c>
      <c r="AH80" s="45">
        <f>AH81+AH91+AH94+AH109+AH113+AH117</f>
        <v>0</v>
      </c>
      <c r="AI80" s="45">
        <f>AI81+AI91+AI94+AI109+AI113+AI117</f>
        <v>148386</v>
      </c>
      <c r="AJ80" s="45">
        <f>AJ81+AJ91+AJ94+AJ109+AJ113+AJ117</f>
        <v>0</v>
      </c>
      <c r="AK80" s="45">
        <f>AK81+AK91+AK94+AK109+AK113+AK117</f>
        <v>0</v>
      </c>
      <c r="AL80" s="45">
        <f>AL81+AL91+AL94+AL109+AL113+AL117</f>
        <v>5930.59</v>
      </c>
      <c r="AM80" s="45">
        <f>AM81+AM91+AM94+AM109+AM113+AM117</f>
        <v>0</v>
      </c>
      <c r="AN80" s="45">
        <f>AN81+AN91+AN94+AN109+AN113+AN117</f>
        <v>10630</v>
      </c>
      <c r="AO80" s="45">
        <f>AO81+AO91+AO94+AO109+AO113+AO117</f>
        <v>1267.55</v>
      </c>
      <c r="AP80" s="45">
        <f>AP81+AP91+AP94+AP109+AP113+AP117</f>
        <v>0</v>
      </c>
      <c r="AQ80" s="45">
        <f>AQ81+AQ91+AQ94+AQ109+AQ113+AQ117</f>
        <v>0</v>
      </c>
      <c r="AR80" s="45">
        <f>AR81+AR91+AR94+AR109+AR113+AR117</f>
        <v>1050</v>
      </c>
      <c r="AS80" s="45">
        <f>AS81+AS91+AS94+AS109+AS113+AS117</f>
        <v>0</v>
      </c>
      <c r="AT80" s="45">
        <f>AT81+AT91+AT94+AT109+AT113+AT117</f>
        <v>0</v>
      </c>
      <c r="AU80" s="45">
        <f>AU81+AU91+AU94+AU109+AU113+AU117</f>
        <v>1149</v>
      </c>
      <c r="AV80" s="45">
        <f>AV81+AV91+AV94+AV109+AV113+AV117</f>
        <v>4017.1</v>
      </c>
      <c r="AW80" s="45">
        <f>AW81+AW91+AW94+AW109+AW113+AW117</f>
        <v>0</v>
      </c>
      <c r="AX80" s="45">
        <f>AX81+AX91+AX94+AX109+AX113+AX117</f>
        <v>0</v>
      </c>
      <c r="AY80" s="45">
        <f>AY81+AY91+AY94+AY109+AY113+AY117</f>
        <v>2757.8</v>
      </c>
      <c r="AZ80" s="45">
        <f>AZ81+AZ91+AZ94+AZ109+AZ113+AZ117</f>
        <v>10600</v>
      </c>
      <c r="BA80" s="45">
        <f>BA81+BA91+BA94+BA109+BA113+BA117</f>
        <v>719.40000000000009</v>
      </c>
      <c r="BB80" s="45">
        <f>BB81+BB91+BB94+BB109+BB113+BB117</f>
        <v>229278.27999999997</v>
      </c>
      <c r="BC80" s="45">
        <f>BC81+BC91+BC94+BC109+BC113+BC117</f>
        <v>0</v>
      </c>
      <c r="BD80" s="45">
        <f>BD81+BD91+BD94+BD109+BD113+BD117</f>
        <v>0</v>
      </c>
      <c r="BE80" s="45">
        <f>BE81+BE91+BE94+BE109+BE113+BE117</f>
        <v>0</v>
      </c>
      <c r="BF80" s="27"/>
      <c r="BG80" s="5"/>
      <c r="BH80" s="5"/>
      <c r="BI80" s="5"/>
      <c r="BJ80" s="5"/>
    </row>
    <row r="81" spans="1:62" ht="15.75" customHeight="1" x14ac:dyDescent="0.25">
      <c r="A81" s="83"/>
      <c r="B81" s="84" t="s">
        <v>36</v>
      </c>
      <c r="C81" s="85">
        <f>SUM(C82:C90)</f>
        <v>20726.900000000001</v>
      </c>
      <c r="D81" s="85">
        <f>SUM(D82:D90)</f>
        <v>157466.56</v>
      </c>
      <c r="E81" s="85">
        <f>SUM(E82:E90)</f>
        <v>5588.05</v>
      </c>
      <c r="F81" s="85">
        <f>SUM(F82:F90)</f>
        <v>0</v>
      </c>
      <c r="G81" s="85">
        <f>SUM(G82:G90)</f>
        <v>730</v>
      </c>
      <c r="H81" s="85">
        <f>SUM(H82:H90)</f>
        <v>151878.51</v>
      </c>
      <c r="I81" s="85">
        <f>SUM(I82:I90)</f>
        <v>0</v>
      </c>
      <c r="J81" s="41">
        <f t="shared" si="58"/>
        <v>730</v>
      </c>
      <c r="K81" s="41">
        <f t="shared" si="59"/>
        <v>151878.51</v>
      </c>
      <c r="L81" s="41">
        <f t="shared" si="60"/>
        <v>0</v>
      </c>
      <c r="M81" s="85">
        <f>SUM(M82:M90)</f>
        <v>19996.900000000001</v>
      </c>
      <c r="N81" s="85">
        <f>SUM(N82:N90)</f>
        <v>0</v>
      </c>
      <c r="O81" s="85">
        <f>SUM(O82:O90)</f>
        <v>0</v>
      </c>
      <c r="P81" s="114">
        <f t="shared" si="61"/>
        <v>3.5219931586489055E-2</v>
      </c>
      <c r="Q81" s="114">
        <f t="shared" si="62"/>
        <v>0.96451278290451004</v>
      </c>
      <c r="R81" s="114" t="e">
        <f t="shared" si="63"/>
        <v>#DIV/0!</v>
      </c>
      <c r="S81" s="85">
        <f>SUM(S82:S90)</f>
        <v>0</v>
      </c>
      <c r="T81" s="85">
        <f>SUM(T82:T90)</f>
        <v>3492.51</v>
      </c>
      <c r="U81" s="85">
        <f>SUM(U82:U90)</f>
        <v>0</v>
      </c>
      <c r="V81" s="85">
        <f>SUM(V82:V90)</f>
        <v>0</v>
      </c>
      <c r="W81" s="85">
        <f>SUM(W82:W90)</f>
        <v>0</v>
      </c>
      <c r="X81" s="85">
        <f>SUM(X82:X90)</f>
        <v>0</v>
      </c>
      <c r="Y81" s="85">
        <f>SUM(Y82:Y90)</f>
        <v>0</v>
      </c>
      <c r="Z81" s="85">
        <f>SUM(Z82:Z90)</f>
        <v>0</v>
      </c>
      <c r="AA81" s="85">
        <f>SUM(AA82:AA90)</f>
        <v>0</v>
      </c>
      <c r="AB81" s="85">
        <f>SUM(AB82:AB90)</f>
        <v>0</v>
      </c>
      <c r="AC81" s="85">
        <f>SUM(AC82:AC90)</f>
        <v>0</v>
      </c>
      <c r="AD81" s="85">
        <f>SUM(AD82:AD90)</f>
        <v>0</v>
      </c>
      <c r="AE81" s="85">
        <f>SUM(AE82:AE90)</f>
        <v>0</v>
      </c>
      <c r="AF81" s="85">
        <f>SUM(AF82:AF90)</f>
        <v>0</v>
      </c>
      <c r="AG81" s="85">
        <f>SUM(AG82:AG90)</f>
        <v>0</v>
      </c>
      <c r="AH81" s="85">
        <f>SUM(AH82:AH90)</f>
        <v>0</v>
      </c>
      <c r="AI81" s="85">
        <f>SUM(AI82:AI90)</f>
        <v>148386</v>
      </c>
      <c r="AJ81" s="85">
        <f>SUM(AJ82:AJ90)</f>
        <v>0</v>
      </c>
      <c r="AK81" s="85">
        <f>SUM(AK82:AK90)</f>
        <v>0</v>
      </c>
      <c r="AL81" s="85">
        <f>SUM(AL82:AL90)</f>
        <v>0</v>
      </c>
      <c r="AM81" s="85">
        <f>SUM(AM82:AM90)</f>
        <v>0</v>
      </c>
      <c r="AN81" s="85">
        <f>SUM(AN82:AN90)</f>
        <v>730</v>
      </c>
      <c r="AO81" s="85">
        <f>SUM(AO82:AO90)</f>
        <v>0</v>
      </c>
      <c r="AP81" s="85">
        <f>SUM(AP82:AP90)</f>
        <v>0</v>
      </c>
      <c r="AQ81" s="85">
        <f>SUM(AQ82:AQ90)</f>
        <v>0</v>
      </c>
      <c r="AR81" s="85">
        <f>SUM(AR82:AR90)</f>
        <v>0</v>
      </c>
      <c r="AS81" s="85">
        <f>SUM(AS82:AS90)</f>
        <v>0</v>
      </c>
      <c r="AT81" s="85">
        <f>SUM(AT82:AT90)</f>
        <v>0</v>
      </c>
      <c r="AU81" s="85">
        <f>SUM(AU82:AU90)</f>
        <v>0</v>
      </c>
      <c r="AV81" s="85">
        <f>SUM(AV82:AV90)</f>
        <v>0</v>
      </c>
      <c r="AW81" s="85">
        <f>SUM(AW82:AW90)</f>
        <v>0</v>
      </c>
      <c r="AX81" s="85">
        <f>SUM(AX82:AX90)</f>
        <v>0</v>
      </c>
      <c r="AY81" s="85">
        <f>SUM(AY82:AY90)</f>
        <v>0</v>
      </c>
      <c r="AZ81" s="85">
        <f>SUM(AZ82:AZ90)</f>
        <v>0</v>
      </c>
      <c r="BA81" s="85">
        <f>SUM(BA82:BA90)</f>
        <v>0</v>
      </c>
      <c r="BB81" s="85">
        <f>SUM(BB82:BB90)</f>
        <v>0</v>
      </c>
      <c r="BC81" s="85">
        <f>SUM(BC82:BC90)</f>
        <v>0</v>
      </c>
      <c r="BD81" s="85">
        <f>SUM(BD82:BD90)</f>
        <v>0</v>
      </c>
      <c r="BE81" s="85">
        <f>SUM(BE82:BE90)</f>
        <v>0</v>
      </c>
      <c r="BF81" s="28"/>
      <c r="BG81" s="6"/>
      <c r="BH81" s="6"/>
      <c r="BI81" s="6"/>
      <c r="BJ81" s="6"/>
    </row>
    <row r="82" spans="1:62" ht="15.75" hidden="1" customHeight="1" x14ac:dyDescent="0.25">
      <c r="A82" s="47" t="s">
        <v>100</v>
      </c>
      <c r="B82" s="82" t="s">
        <v>30</v>
      </c>
      <c r="C82" s="50"/>
      <c r="D82" s="50"/>
      <c r="E82" s="50"/>
      <c r="F82" s="50"/>
      <c r="G82" s="52">
        <f t="shared" ref="G82:I87" si="67">S82+V82+Y82+AB82+AE82+AH82+AK82+AN82+AQ82+AT82+AW82+AZ82</f>
        <v>0</v>
      </c>
      <c r="H82" s="52">
        <f t="shared" si="67"/>
        <v>0</v>
      </c>
      <c r="I82" s="52">
        <f t="shared" si="67"/>
        <v>0</v>
      </c>
      <c r="J82" s="42">
        <f t="shared" si="58"/>
        <v>0</v>
      </c>
      <c r="K82" s="42">
        <f t="shared" si="59"/>
        <v>0</v>
      </c>
      <c r="L82" s="42">
        <f t="shared" si="60"/>
        <v>0</v>
      </c>
      <c r="M82" s="52">
        <f t="shared" ref="M82:M87" si="68">C82-G82</f>
        <v>0</v>
      </c>
      <c r="N82" s="52">
        <f t="shared" ref="N82:N89" si="69">D82-H82</f>
        <v>0</v>
      </c>
      <c r="O82" s="52">
        <f t="shared" ref="O82:O87" si="70">F82-I82</f>
        <v>0</v>
      </c>
      <c r="P82" s="54" t="e">
        <f t="shared" si="61"/>
        <v>#DIV/0!</v>
      </c>
      <c r="Q82" s="54" t="e">
        <f t="shared" si="62"/>
        <v>#DIV/0!</v>
      </c>
      <c r="R82" s="54" t="e">
        <f t="shared" si="63"/>
        <v>#DIV/0!</v>
      </c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25"/>
      <c r="BG82" s="3"/>
      <c r="BH82" s="3"/>
      <c r="BI82" s="3"/>
      <c r="BJ82" s="3"/>
    </row>
    <row r="83" spans="1:62" ht="15.75" hidden="1" customHeight="1" x14ac:dyDescent="0.25">
      <c r="A83" s="47" t="s">
        <v>145</v>
      </c>
      <c r="B83" s="82" t="s">
        <v>33</v>
      </c>
      <c r="C83" s="50"/>
      <c r="D83" s="50"/>
      <c r="E83" s="50"/>
      <c r="F83" s="50"/>
      <c r="G83" s="52">
        <f t="shared" si="67"/>
        <v>0</v>
      </c>
      <c r="H83" s="52">
        <f t="shared" si="67"/>
        <v>0</v>
      </c>
      <c r="I83" s="52">
        <f t="shared" si="67"/>
        <v>0</v>
      </c>
      <c r="J83" s="42">
        <f t="shared" si="58"/>
        <v>0</v>
      </c>
      <c r="K83" s="42">
        <f t="shared" si="59"/>
        <v>0</v>
      </c>
      <c r="L83" s="42">
        <f t="shared" si="60"/>
        <v>0</v>
      </c>
      <c r="M83" s="52">
        <f t="shared" si="68"/>
        <v>0</v>
      </c>
      <c r="N83" s="52">
        <f t="shared" si="69"/>
        <v>0</v>
      </c>
      <c r="O83" s="52">
        <f t="shared" si="70"/>
        <v>0</v>
      </c>
      <c r="P83" s="54" t="e">
        <f t="shared" si="61"/>
        <v>#DIV/0!</v>
      </c>
      <c r="Q83" s="54" t="e">
        <f t="shared" si="62"/>
        <v>#DIV/0!</v>
      </c>
      <c r="R83" s="54" t="e">
        <f t="shared" si="63"/>
        <v>#DIV/0!</v>
      </c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25"/>
      <c r="BG83" s="3"/>
      <c r="BH83" s="3"/>
      <c r="BI83" s="3"/>
      <c r="BJ83" s="3"/>
    </row>
    <row r="84" spans="1:62" ht="15.75" hidden="1" customHeight="1" x14ac:dyDescent="0.25">
      <c r="A84" s="47" t="s">
        <v>101</v>
      </c>
      <c r="B84" s="82" t="s">
        <v>31</v>
      </c>
      <c r="C84" s="50"/>
      <c r="D84" s="50"/>
      <c r="E84" s="50"/>
      <c r="F84" s="50"/>
      <c r="G84" s="52">
        <f t="shared" si="67"/>
        <v>0</v>
      </c>
      <c r="H84" s="52">
        <f t="shared" si="67"/>
        <v>0</v>
      </c>
      <c r="I84" s="52">
        <f t="shared" si="67"/>
        <v>0</v>
      </c>
      <c r="J84" s="42">
        <f t="shared" si="58"/>
        <v>0</v>
      </c>
      <c r="K84" s="42">
        <f t="shared" si="59"/>
        <v>0</v>
      </c>
      <c r="L84" s="42">
        <f t="shared" si="60"/>
        <v>0</v>
      </c>
      <c r="M84" s="52">
        <f t="shared" si="68"/>
        <v>0</v>
      </c>
      <c r="N84" s="52">
        <f t="shared" si="69"/>
        <v>0</v>
      </c>
      <c r="O84" s="52">
        <f t="shared" si="70"/>
        <v>0</v>
      </c>
      <c r="P84" s="54" t="e">
        <f t="shared" si="61"/>
        <v>#DIV/0!</v>
      </c>
      <c r="Q84" s="54" t="e">
        <f t="shared" si="62"/>
        <v>#DIV/0!</v>
      </c>
      <c r="R84" s="54" t="e">
        <f t="shared" si="63"/>
        <v>#DIV/0!</v>
      </c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25"/>
      <c r="BG84" s="3"/>
      <c r="BH84" s="3"/>
      <c r="BI84" s="3"/>
      <c r="BJ84" s="3"/>
    </row>
    <row r="85" spans="1:62" ht="15.75" hidden="1" customHeight="1" x14ac:dyDescent="0.25">
      <c r="A85" s="47"/>
      <c r="B85" s="120" t="s">
        <v>47</v>
      </c>
      <c r="C85" s="119"/>
      <c r="D85" s="122"/>
      <c r="E85" s="122"/>
      <c r="F85" s="119"/>
      <c r="G85" s="52">
        <f t="shared" si="67"/>
        <v>0</v>
      </c>
      <c r="H85" s="52">
        <f t="shared" si="67"/>
        <v>0</v>
      </c>
      <c r="I85" s="52">
        <f t="shared" si="67"/>
        <v>0</v>
      </c>
      <c r="J85" s="42">
        <f t="shared" si="58"/>
        <v>0</v>
      </c>
      <c r="K85" s="42">
        <f t="shared" si="59"/>
        <v>0</v>
      </c>
      <c r="L85" s="42">
        <f t="shared" si="60"/>
        <v>0</v>
      </c>
      <c r="M85" s="52">
        <f t="shared" si="68"/>
        <v>0</v>
      </c>
      <c r="N85" s="52">
        <f t="shared" si="69"/>
        <v>0</v>
      </c>
      <c r="O85" s="52">
        <f t="shared" si="70"/>
        <v>0</v>
      </c>
      <c r="P85" s="54" t="e">
        <f t="shared" si="61"/>
        <v>#DIV/0!</v>
      </c>
      <c r="Q85" s="54" t="e">
        <f t="shared" si="62"/>
        <v>#DIV/0!</v>
      </c>
      <c r="R85" s="54" t="e">
        <f t="shared" si="63"/>
        <v>#DIV/0!</v>
      </c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3"/>
      <c r="BA85" s="122"/>
      <c r="BB85" s="122"/>
      <c r="BC85" s="50"/>
      <c r="BD85" s="50"/>
      <c r="BE85" s="50"/>
      <c r="BF85" s="25"/>
      <c r="BG85" s="3"/>
      <c r="BH85" s="3"/>
      <c r="BI85" s="3"/>
      <c r="BJ85" s="3"/>
    </row>
    <row r="86" spans="1:62" ht="15.75" hidden="1" x14ac:dyDescent="0.25">
      <c r="A86" s="47" t="s">
        <v>122</v>
      </c>
      <c r="B86" s="118" t="s">
        <v>198</v>
      </c>
      <c r="C86" s="50"/>
      <c r="D86" s="50"/>
      <c r="E86" s="50"/>
      <c r="F86" s="50"/>
      <c r="G86" s="52">
        <f t="shared" si="67"/>
        <v>0</v>
      </c>
      <c r="H86" s="52">
        <f t="shared" si="67"/>
        <v>0</v>
      </c>
      <c r="I86" s="52">
        <f t="shared" si="67"/>
        <v>0</v>
      </c>
      <c r="J86" s="42">
        <f t="shared" si="58"/>
        <v>0</v>
      </c>
      <c r="K86" s="42">
        <f t="shared" si="59"/>
        <v>0</v>
      </c>
      <c r="L86" s="42">
        <f t="shared" si="60"/>
        <v>0</v>
      </c>
      <c r="M86" s="52">
        <f t="shared" si="68"/>
        <v>0</v>
      </c>
      <c r="N86" s="52">
        <f t="shared" si="69"/>
        <v>0</v>
      </c>
      <c r="O86" s="52">
        <f t="shared" si="70"/>
        <v>0</v>
      </c>
      <c r="P86" s="54" t="e">
        <f t="shared" si="61"/>
        <v>#DIV/0!</v>
      </c>
      <c r="Q86" s="54" t="e">
        <f t="shared" si="62"/>
        <v>#DIV/0!</v>
      </c>
      <c r="R86" s="54" t="e">
        <f t="shared" si="63"/>
        <v>#DIV/0!</v>
      </c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25"/>
      <c r="BG86" s="3"/>
      <c r="BH86" s="3"/>
      <c r="BI86" s="3"/>
      <c r="BJ86" s="3"/>
    </row>
    <row r="87" spans="1:62" s="23" customFormat="1" ht="15.75" x14ac:dyDescent="0.25">
      <c r="A87" s="47" t="s">
        <v>144</v>
      </c>
      <c r="B87" s="82" t="s">
        <v>158</v>
      </c>
      <c r="C87" s="50">
        <v>730</v>
      </c>
      <c r="D87" s="50"/>
      <c r="E87" s="50"/>
      <c r="F87" s="50"/>
      <c r="G87" s="52">
        <f t="shared" si="67"/>
        <v>730</v>
      </c>
      <c r="H87" s="52">
        <f t="shared" si="67"/>
        <v>0</v>
      </c>
      <c r="I87" s="52">
        <f t="shared" si="67"/>
        <v>0</v>
      </c>
      <c r="J87" s="42">
        <f t="shared" si="58"/>
        <v>730</v>
      </c>
      <c r="K87" s="42">
        <f t="shared" si="59"/>
        <v>0</v>
      </c>
      <c r="L87" s="42">
        <f t="shared" si="60"/>
        <v>0</v>
      </c>
      <c r="M87" s="52">
        <f t="shared" si="68"/>
        <v>0</v>
      </c>
      <c r="N87" s="52">
        <f t="shared" si="69"/>
        <v>0</v>
      </c>
      <c r="O87" s="52">
        <f t="shared" si="70"/>
        <v>0</v>
      </c>
      <c r="P87" s="54">
        <f t="shared" si="61"/>
        <v>1</v>
      </c>
      <c r="Q87" s="54" t="e">
        <f t="shared" si="62"/>
        <v>#DIV/0!</v>
      </c>
      <c r="R87" s="54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>
        <v>730</v>
      </c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25"/>
      <c r="BG87" s="3"/>
      <c r="BH87" s="3"/>
      <c r="BI87" s="3"/>
      <c r="BJ87" s="3"/>
    </row>
    <row r="88" spans="1:62" s="17" customFormat="1" ht="15.75" x14ac:dyDescent="0.25">
      <c r="A88" s="59" t="s">
        <v>120</v>
      </c>
      <c r="B88" s="65" t="s">
        <v>167</v>
      </c>
      <c r="C88" s="50"/>
      <c r="D88" s="50">
        <v>9080.56</v>
      </c>
      <c r="E88" s="50">
        <v>5588.05</v>
      </c>
      <c r="F88" s="50"/>
      <c r="G88" s="52">
        <f t="shared" ref="G88:I89" si="71">S88+V88+Y88+AB88+AE88+AH88+AK88+AN88+AQ88+AT88+AW88+AZ88</f>
        <v>0</v>
      </c>
      <c r="H88" s="52">
        <f t="shared" si="71"/>
        <v>3492.51</v>
      </c>
      <c r="I88" s="52">
        <f t="shared" si="71"/>
        <v>0</v>
      </c>
      <c r="J88" s="42">
        <f t="shared" ref="J88:L89" si="72">IF(BC88=0,SUM(S88+V88+Y88+AB88+AE88+AH88+AK88+AN88+AQ88+AT88+AW88+AZ88),BC88)</f>
        <v>0</v>
      </c>
      <c r="K88" s="42">
        <f t="shared" si="72"/>
        <v>3492.51</v>
      </c>
      <c r="L88" s="42">
        <f t="shared" si="72"/>
        <v>0</v>
      </c>
      <c r="M88" s="52">
        <f t="shared" ref="M88:M90" si="73">C88-G88</f>
        <v>0</v>
      </c>
      <c r="N88" s="52">
        <f>D88-H88-E88</f>
        <v>0</v>
      </c>
      <c r="O88" s="52">
        <f t="shared" ref="O88:O89" si="74">F88-I88</f>
        <v>0</v>
      </c>
      <c r="P88" s="54" t="e">
        <f t="shared" ref="P88:P89" si="75">G88/C88</f>
        <v>#DIV/0!</v>
      </c>
      <c r="Q88" s="54">
        <f t="shared" si="62"/>
        <v>0.38461394451443526</v>
      </c>
      <c r="R88" s="54" t="e">
        <f t="shared" ref="R88:R89" si="76">I88/F88</f>
        <v>#DIV/0!</v>
      </c>
      <c r="S88" s="50"/>
      <c r="T88" s="50">
        <v>3492.51</v>
      </c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25"/>
      <c r="BG88" s="3"/>
      <c r="BH88" s="3"/>
      <c r="BI88" s="3"/>
      <c r="BJ88" s="3"/>
    </row>
    <row r="89" spans="1:62" s="20" customFormat="1" ht="15.75" x14ac:dyDescent="0.25">
      <c r="A89" s="79" t="s">
        <v>146</v>
      </c>
      <c r="B89" s="80" t="s">
        <v>199</v>
      </c>
      <c r="C89" s="50"/>
      <c r="D89" s="62">
        <v>148386</v>
      </c>
      <c r="E89" s="62"/>
      <c r="F89" s="50"/>
      <c r="G89" s="52">
        <f t="shared" si="71"/>
        <v>0</v>
      </c>
      <c r="H89" s="52">
        <f t="shared" si="71"/>
        <v>148386</v>
      </c>
      <c r="I89" s="52">
        <f t="shared" si="71"/>
        <v>0</v>
      </c>
      <c r="J89" s="42">
        <f t="shared" si="72"/>
        <v>0</v>
      </c>
      <c r="K89" s="42">
        <f t="shared" si="72"/>
        <v>148386</v>
      </c>
      <c r="L89" s="42">
        <f t="shared" si="72"/>
        <v>0</v>
      </c>
      <c r="M89" s="52">
        <f t="shared" si="73"/>
        <v>0</v>
      </c>
      <c r="N89" s="52">
        <f t="shared" si="69"/>
        <v>0</v>
      </c>
      <c r="O89" s="52">
        <f t="shared" si="74"/>
        <v>0</v>
      </c>
      <c r="P89" s="54" t="e">
        <f t="shared" si="75"/>
        <v>#DIV/0!</v>
      </c>
      <c r="Q89" s="54">
        <f t="shared" si="62"/>
        <v>1</v>
      </c>
      <c r="R89" s="54" t="e">
        <f t="shared" si="76"/>
        <v>#DIV/0!</v>
      </c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>
        <v>148386</v>
      </c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25"/>
      <c r="BG89" s="3"/>
      <c r="BH89" s="3"/>
      <c r="BI89" s="3"/>
      <c r="BJ89" s="3"/>
    </row>
    <row r="90" spans="1:62" ht="15.75" customHeight="1" x14ac:dyDescent="0.25">
      <c r="A90" s="47" t="s">
        <v>147</v>
      </c>
      <c r="B90" s="82" t="s">
        <v>203</v>
      </c>
      <c r="C90" s="50">
        <f>19996.9</f>
        <v>19996.900000000001</v>
      </c>
      <c r="D90" s="50"/>
      <c r="E90" s="50"/>
      <c r="F90" s="125"/>
      <c r="G90" s="52">
        <f>S90+V90+Y90+AB90+AE90+AH90+AK90+AN90+AQ90+AT90+AW90+AZ90</f>
        <v>0</v>
      </c>
      <c r="H90" s="52">
        <f t="shared" ref="H90:I90" si="77">T90+W90+Z90+AC90+AF90+AI90+AL90+AO90+AR90+AU90+AX90+BA90</f>
        <v>0</v>
      </c>
      <c r="I90" s="52">
        <f t="shared" si="77"/>
        <v>0</v>
      </c>
      <c r="J90" s="42">
        <f t="shared" ref="J90:J93" si="78">IF(BC90=0,SUM(S90+V90+Y90+AB90+AE90+AH90+AK90+AN90+AQ90+AT90+AW90+AZ90),BC90)</f>
        <v>0</v>
      </c>
      <c r="K90" s="42">
        <f t="shared" ref="K90:K93" si="79">IF(BD90=0,SUM(T90+W90+Z90+AC90+AF90+AI90+AL90+AO90+AR90+AU90+AX90+BA90),BD90)</f>
        <v>0</v>
      </c>
      <c r="L90" s="42">
        <f t="shared" ref="L90:L93" si="80">IF(BE90=0,SUM(U90+X90+AA90+AD90+AG90+AJ90+AM90+AP90+AS90+AV90+AY90+BB90),BE90)</f>
        <v>0</v>
      </c>
      <c r="M90" s="52">
        <f t="shared" si="73"/>
        <v>19996.900000000001</v>
      </c>
      <c r="N90" s="52">
        <f>D90-H90</f>
        <v>0</v>
      </c>
      <c r="O90" s="52">
        <f>F90-I90</f>
        <v>0</v>
      </c>
      <c r="P90" s="54">
        <f t="shared" ref="P90:P96" si="81">G90/C90</f>
        <v>0</v>
      </c>
      <c r="Q90" s="54" t="e">
        <f t="shared" ref="Q90:Q98" si="82">H90/D90</f>
        <v>#DIV/0!</v>
      </c>
      <c r="R90" s="54" t="e">
        <f t="shared" ref="R90:R96" si="83">I90/F90</f>
        <v>#DIV/0!</v>
      </c>
      <c r="S90" s="50"/>
      <c r="T90" s="50"/>
      <c r="U90" s="50"/>
      <c r="V90" s="50"/>
      <c r="W90" s="50"/>
      <c r="X90" s="50"/>
      <c r="Y90" s="126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25"/>
      <c r="BG90" s="3"/>
      <c r="BH90" s="3"/>
      <c r="BI90" s="3"/>
      <c r="BJ90" s="3"/>
    </row>
    <row r="91" spans="1:62" ht="15.75" customHeight="1" x14ac:dyDescent="0.25">
      <c r="A91" s="127"/>
      <c r="B91" s="103" t="s">
        <v>165</v>
      </c>
      <c r="C91" s="104">
        <f>SUM(C92:C93)</f>
        <v>12807</v>
      </c>
      <c r="D91" s="104">
        <f>SUM(D92:D93)</f>
        <v>0</v>
      </c>
      <c r="E91" s="104"/>
      <c r="F91" s="104">
        <f>SUM(F92:F93)</f>
        <v>0</v>
      </c>
      <c r="G91" s="104">
        <f>SUM(G92:G93)</f>
        <v>9600</v>
      </c>
      <c r="H91" s="104">
        <f>SUM(H92:H93)</f>
        <v>0</v>
      </c>
      <c r="I91" s="104">
        <f>SUM(I92:I93)</f>
        <v>0</v>
      </c>
      <c r="J91" s="104">
        <f t="shared" si="78"/>
        <v>9600</v>
      </c>
      <c r="K91" s="104">
        <f t="shared" si="79"/>
        <v>0</v>
      </c>
      <c r="L91" s="104">
        <f t="shared" si="80"/>
        <v>0</v>
      </c>
      <c r="M91" s="104">
        <f>SUM(M92:M93)</f>
        <v>3207</v>
      </c>
      <c r="N91" s="104">
        <f>SUM(N92:N93)</f>
        <v>0</v>
      </c>
      <c r="O91" s="104">
        <f>SUM(O92:O93)</f>
        <v>0</v>
      </c>
      <c r="P91" s="106">
        <f t="shared" si="81"/>
        <v>0.74959006793159988</v>
      </c>
      <c r="Q91" s="106" t="e">
        <f t="shared" si="82"/>
        <v>#DIV/0!</v>
      </c>
      <c r="R91" s="106" t="e">
        <f t="shared" si="83"/>
        <v>#DIV/0!</v>
      </c>
      <c r="S91" s="104">
        <f>SUM(S92:S93)</f>
        <v>0</v>
      </c>
      <c r="T91" s="104">
        <f>SUM(T92:T93)</f>
        <v>0</v>
      </c>
      <c r="U91" s="104">
        <f>SUM(U92:U93)</f>
        <v>0</v>
      </c>
      <c r="V91" s="104">
        <f>SUM(V92:V93)</f>
        <v>0</v>
      </c>
      <c r="W91" s="104">
        <f>SUM(W92:W93)</f>
        <v>0</v>
      </c>
      <c r="X91" s="104">
        <f>SUM(X92:X93)</f>
        <v>0</v>
      </c>
      <c r="Y91" s="104">
        <f>SUM(Y92:Y93)</f>
        <v>0</v>
      </c>
      <c r="Z91" s="104">
        <f>SUM(Z92:Z93)</f>
        <v>0</v>
      </c>
      <c r="AA91" s="104">
        <f>SUM(AA92:AA93)</f>
        <v>0</v>
      </c>
      <c r="AB91" s="104">
        <f>SUM(AB92:AB93)</f>
        <v>0</v>
      </c>
      <c r="AC91" s="104">
        <f>SUM(AC92:AC93)</f>
        <v>0</v>
      </c>
      <c r="AD91" s="104">
        <f>SUM(AD92:AD93)</f>
        <v>0</v>
      </c>
      <c r="AE91" s="104">
        <f>SUM(AE92:AE93)</f>
        <v>0</v>
      </c>
      <c r="AF91" s="104">
        <f>SUM(AF92:AF93)</f>
        <v>0</v>
      </c>
      <c r="AG91" s="104">
        <f>SUM(AG92:AG93)</f>
        <v>0</v>
      </c>
      <c r="AH91" s="104">
        <f>SUM(AH92:AH93)</f>
        <v>0</v>
      </c>
      <c r="AI91" s="104">
        <f>SUM(AI92:AI93)</f>
        <v>0</v>
      </c>
      <c r="AJ91" s="104">
        <f>SUM(AJ92:AJ93)</f>
        <v>0</v>
      </c>
      <c r="AK91" s="104">
        <f>SUM(AK92:AK93)</f>
        <v>0</v>
      </c>
      <c r="AL91" s="104">
        <f>SUM(AL92:AL93)</f>
        <v>0</v>
      </c>
      <c r="AM91" s="104">
        <f>SUM(AM92:AM93)</f>
        <v>0</v>
      </c>
      <c r="AN91" s="104">
        <f>SUM(AN92:AN93)</f>
        <v>0</v>
      </c>
      <c r="AO91" s="104">
        <f>SUM(AO92:AO93)</f>
        <v>0</v>
      </c>
      <c r="AP91" s="104">
        <f>SUM(AP92:AP93)</f>
        <v>0</v>
      </c>
      <c r="AQ91" s="104">
        <f>SUM(AQ92:AQ93)</f>
        <v>0</v>
      </c>
      <c r="AR91" s="104">
        <f>SUM(AR92:AR93)</f>
        <v>0</v>
      </c>
      <c r="AS91" s="104">
        <f>SUM(AS92:AS93)</f>
        <v>0</v>
      </c>
      <c r="AT91" s="104">
        <f>SUM(AT92:AT93)</f>
        <v>0</v>
      </c>
      <c r="AU91" s="104">
        <f>SUM(AU92:AU93)</f>
        <v>0</v>
      </c>
      <c r="AV91" s="104">
        <f>SUM(AV92:AV93)</f>
        <v>0</v>
      </c>
      <c r="AW91" s="104">
        <f>SUM(AW92:AW93)</f>
        <v>0</v>
      </c>
      <c r="AX91" s="104">
        <f>SUM(AX92:AX93)</f>
        <v>0</v>
      </c>
      <c r="AY91" s="104">
        <f>SUM(AY92:AY93)</f>
        <v>0</v>
      </c>
      <c r="AZ91" s="104">
        <f>SUM(AZ92:AZ93)</f>
        <v>9600</v>
      </c>
      <c r="BA91" s="104">
        <f>SUM(BA92:BA93)</f>
        <v>0</v>
      </c>
      <c r="BB91" s="104">
        <f>SUM(BB92:BB93)</f>
        <v>0</v>
      </c>
      <c r="BC91" s="104">
        <f>SUM(BC92:BC93)</f>
        <v>0</v>
      </c>
      <c r="BD91" s="104">
        <f>SUM(BD92:BD93)</f>
        <v>0</v>
      </c>
      <c r="BE91" s="104">
        <f>SUM(BE92:BE93)</f>
        <v>0</v>
      </c>
      <c r="BF91" s="28"/>
      <c r="BG91" s="6"/>
      <c r="BH91" s="6"/>
      <c r="BI91" s="6"/>
      <c r="BJ91" s="6"/>
    </row>
    <row r="92" spans="1:62" ht="15.75" customHeight="1" x14ac:dyDescent="0.25">
      <c r="A92" s="47" t="s">
        <v>148</v>
      </c>
      <c r="B92" s="82" t="s">
        <v>48</v>
      </c>
      <c r="C92" s="115">
        <v>9600</v>
      </c>
      <c r="D92" s="50"/>
      <c r="E92" s="50"/>
      <c r="F92" s="51"/>
      <c r="G92" s="52">
        <f t="shared" ref="G92:I93" si="84">S92+V92+Y92+AB92+AE92+AH92+AK92+AN92+AQ92+AT92+AW92+AZ92</f>
        <v>9600</v>
      </c>
      <c r="H92" s="52">
        <f t="shared" si="84"/>
        <v>0</v>
      </c>
      <c r="I92" s="52">
        <f t="shared" si="84"/>
        <v>0</v>
      </c>
      <c r="J92" s="42">
        <f t="shared" si="78"/>
        <v>9600</v>
      </c>
      <c r="K92" s="42">
        <f t="shared" si="79"/>
        <v>0</v>
      </c>
      <c r="L92" s="42">
        <f t="shared" si="80"/>
        <v>0</v>
      </c>
      <c r="M92" s="52">
        <f t="shared" ref="M92:N93" si="85">C92-G92</f>
        <v>0</v>
      </c>
      <c r="N92" s="52">
        <f t="shared" si="85"/>
        <v>0</v>
      </c>
      <c r="O92" s="52">
        <f>F92-I92</f>
        <v>0</v>
      </c>
      <c r="P92" s="54">
        <f t="shared" si="81"/>
        <v>1</v>
      </c>
      <c r="Q92" s="54" t="e">
        <f t="shared" si="82"/>
        <v>#DIV/0!</v>
      </c>
      <c r="R92" s="54" t="e">
        <f t="shared" si="83"/>
        <v>#DIV/0!</v>
      </c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>
        <v>9600</v>
      </c>
      <c r="BA92" s="50"/>
      <c r="BB92" s="50"/>
      <c r="BC92" s="50"/>
      <c r="BD92" s="50"/>
      <c r="BE92" s="50"/>
      <c r="BF92" s="25"/>
      <c r="BG92" s="3"/>
      <c r="BH92" s="3"/>
      <c r="BI92" s="3"/>
      <c r="BJ92" s="3"/>
    </row>
    <row r="93" spans="1:62" ht="15.75" customHeight="1" x14ac:dyDescent="0.25">
      <c r="A93" s="47" t="s">
        <v>149</v>
      </c>
      <c r="B93" s="82" t="s">
        <v>49</v>
      </c>
      <c r="C93" s="50">
        <v>3207</v>
      </c>
      <c r="D93" s="50"/>
      <c r="E93" s="50"/>
      <c r="F93" s="51"/>
      <c r="G93" s="52">
        <f t="shared" si="84"/>
        <v>0</v>
      </c>
      <c r="H93" s="52">
        <f t="shared" si="84"/>
        <v>0</v>
      </c>
      <c r="I93" s="52">
        <f t="shared" si="84"/>
        <v>0</v>
      </c>
      <c r="J93" s="42">
        <f t="shared" si="78"/>
        <v>0</v>
      </c>
      <c r="K93" s="42">
        <f t="shared" si="79"/>
        <v>0</v>
      </c>
      <c r="L93" s="42">
        <f t="shared" si="80"/>
        <v>0</v>
      </c>
      <c r="M93" s="52">
        <f t="shared" si="85"/>
        <v>3207</v>
      </c>
      <c r="N93" s="52">
        <f t="shared" si="85"/>
        <v>0</v>
      </c>
      <c r="O93" s="52">
        <f>F93-I93</f>
        <v>0</v>
      </c>
      <c r="P93" s="54">
        <f t="shared" si="81"/>
        <v>0</v>
      </c>
      <c r="Q93" s="54" t="e">
        <f t="shared" si="82"/>
        <v>#DIV/0!</v>
      </c>
      <c r="R93" s="54" t="e">
        <f t="shared" si="83"/>
        <v>#DIV/0!</v>
      </c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25"/>
      <c r="BG93" s="3"/>
      <c r="BH93" s="3"/>
      <c r="BI93" s="3"/>
      <c r="BJ93" s="3"/>
    </row>
    <row r="94" spans="1:62" ht="15.75" x14ac:dyDescent="0.25">
      <c r="A94" s="127"/>
      <c r="B94" s="103" t="s">
        <v>50</v>
      </c>
      <c r="C94" s="104">
        <f>C95+C102+C104+C106</f>
        <v>181352.78</v>
      </c>
      <c r="D94" s="104">
        <f>D95+D102+D104+D106</f>
        <v>71868.47</v>
      </c>
      <c r="E94" s="104"/>
      <c r="F94" s="104">
        <f>F95+F102+F104+F106</f>
        <v>703534.97000000009</v>
      </c>
      <c r="G94" s="104">
        <f>G95+G102+G104+G106</f>
        <v>0</v>
      </c>
      <c r="H94" s="104">
        <f>H95+H102+H104+H106</f>
        <v>66669.070000000007</v>
      </c>
      <c r="I94" s="104">
        <f>I95+I102+I104+I106</f>
        <v>236053.18</v>
      </c>
      <c r="J94" s="104">
        <f>J95+J102+J104+J106</f>
        <v>0</v>
      </c>
      <c r="K94" s="104">
        <f>K95+K102+K104+K106</f>
        <v>66669.069999999992</v>
      </c>
      <c r="L94" s="104">
        <f>L95+L102+L104+L106</f>
        <v>236053.18</v>
      </c>
      <c r="M94" s="104">
        <f>M95+M102+M104+M106</f>
        <v>181352.78</v>
      </c>
      <c r="N94" s="104">
        <f>N95+N102+N104+N106</f>
        <v>5199.4000000000015</v>
      </c>
      <c r="O94" s="104">
        <f>O95+O102+O104+O106</f>
        <v>467481.79</v>
      </c>
      <c r="P94" s="106">
        <f t="shared" si="81"/>
        <v>0</v>
      </c>
      <c r="Q94" s="106">
        <f t="shared" si="82"/>
        <v>0.92765394894311792</v>
      </c>
      <c r="R94" s="106">
        <f t="shared" si="83"/>
        <v>0.33552444450629082</v>
      </c>
      <c r="S94" s="104">
        <f>S95+S102+S104+S106</f>
        <v>0</v>
      </c>
      <c r="T94" s="104">
        <f>T95+T102+T104+T106</f>
        <v>412.5</v>
      </c>
      <c r="U94" s="104">
        <f>U95+U102+U104+U106</f>
        <v>0</v>
      </c>
      <c r="V94" s="104">
        <f>V95+V102+V104+V106</f>
        <v>0</v>
      </c>
      <c r="W94" s="104">
        <f>W95+W102+W104+W106</f>
        <v>15660.66</v>
      </c>
      <c r="X94" s="104">
        <f>X95+X102+X104+X106</f>
        <v>0</v>
      </c>
      <c r="Y94" s="104">
        <f>Y95+Y102+Y104+Y106</f>
        <v>0</v>
      </c>
      <c r="Z94" s="104">
        <f>Z95+Z102+Z104+Z106</f>
        <v>36084.959999999999</v>
      </c>
      <c r="AA94" s="104">
        <f>AA95+AA102+AA104+AA106</f>
        <v>0</v>
      </c>
      <c r="AB94" s="104">
        <f>AB95+AB102+AB104+AB106</f>
        <v>0</v>
      </c>
      <c r="AC94" s="104">
        <f>AC95+AC102+AC104+AC106</f>
        <v>0</v>
      </c>
      <c r="AD94" s="104">
        <f>AD95+AD102+AD104+AD106</f>
        <v>0</v>
      </c>
      <c r="AE94" s="104">
        <f>AE95+AE102+AE104+AE106</f>
        <v>0</v>
      </c>
      <c r="AF94" s="104">
        <f>AF95+AF102+AF104+AF106</f>
        <v>10250</v>
      </c>
      <c r="AG94" s="104">
        <f>AG95+AG102+AG104+AG106</f>
        <v>0</v>
      </c>
      <c r="AH94" s="104">
        <f>AH95+AH102+AH104+AH106</f>
        <v>0</v>
      </c>
      <c r="AI94" s="104">
        <f>AI95+AI102+AI104+AI106</f>
        <v>0</v>
      </c>
      <c r="AJ94" s="104">
        <f>AJ95+AJ102+AJ104+AJ106</f>
        <v>0</v>
      </c>
      <c r="AK94" s="104">
        <f>AK95+AK102+AK104+AK106</f>
        <v>0</v>
      </c>
      <c r="AL94" s="104">
        <f>AL95+AL102+AL104+AL106</f>
        <v>75</v>
      </c>
      <c r="AM94" s="104">
        <f>AM95+AM102+AM104+AM106</f>
        <v>0</v>
      </c>
      <c r="AN94" s="104">
        <f>AN95+AN102+AN104+AN106</f>
        <v>0</v>
      </c>
      <c r="AO94" s="104">
        <f>AO95+AO102+AO104+AO106</f>
        <v>1267.55</v>
      </c>
      <c r="AP94" s="104">
        <f>AP95+AP102+AP104+AP106</f>
        <v>0</v>
      </c>
      <c r="AQ94" s="104">
        <f>AQ95+AQ102+AQ104+AQ106</f>
        <v>0</v>
      </c>
      <c r="AR94" s="104">
        <f>AR95+AR102+AR104+AR106</f>
        <v>1050</v>
      </c>
      <c r="AS94" s="104">
        <f>AS95+AS102+AS104+AS106</f>
        <v>0</v>
      </c>
      <c r="AT94" s="104">
        <f>AT95+AT102+AT104+AT106</f>
        <v>0</v>
      </c>
      <c r="AU94" s="104">
        <f>AU95+AU102+AU104+AU106</f>
        <v>1149</v>
      </c>
      <c r="AV94" s="104">
        <f>AV95+AV102+AV104+AV106</f>
        <v>4017.1</v>
      </c>
      <c r="AW94" s="104">
        <f>AW95+AW102+AW104+AW106</f>
        <v>0</v>
      </c>
      <c r="AX94" s="104">
        <f>AX95+AX102+AX104+AX106</f>
        <v>0</v>
      </c>
      <c r="AY94" s="104">
        <f>AY95+AY102+AY104+AY106</f>
        <v>2757.8</v>
      </c>
      <c r="AZ94" s="104">
        <f>AZ95+AZ102+AZ104+AZ106</f>
        <v>0</v>
      </c>
      <c r="BA94" s="104">
        <f>BA95+BA102+BA104+BA106</f>
        <v>719.40000000000009</v>
      </c>
      <c r="BB94" s="104">
        <f>BB95+BB102+BB104+BB106</f>
        <v>229278.27999999997</v>
      </c>
      <c r="BC94" s="104">
        <f>BC95+BC102+BC104+BC106</f>
        <v>0</v>
      </c>
      <c r="BD94" s="104">
        <f>BD95+BD102+BD104+BD106</f>
        <v>0</v>
      </c>
      <c r="BE94" s="104">
        <f>BE95+BE102+BE104+BE106</f>
        <v>0</v>
      </c>
      <c r="BF94" s="30"/>
      <c r="BG94" s="9"/>
      <c r="BH94" s="9"/>
      <c r="BI94" s="9"/>
      <c r="BJ94" s="9"/>
    </row>
    <row r="95" spans="1:62" ht="15.75" x14ac:dyDescent="0.25">
      <c r="A95" s="128"/>
      <c r="B95" s="129" t="s">
        <v>51</v>
      </c>
      <c r="C95" s="130">
        <f>SUM(C96:C101)</f>
        <v>0</v>
      </c>
      <c r="D95" s="130">
        <f>SUM(D96:D101)</f>
        <v>71868.47</v>
      </c>
      <c r="E95" s="130"/>
      <c r="F95" s="130">
        <f>SUM(F96:F101)</f>
        <v>467872.49</v>
      </c>
      <c r="G95" s="130">
        <f>SUM(G96:G101)</f>
        <v>0</v>
      </c>
      <c r="H95" s="130">
        <f>SUM(H96:H101)</f>
        <v>66669.070000000007</v>
      </c>
      <c r="I95" s="130">
        <f>SUM(I96:I101)</f>
        <v>4627.8999999999996</v>
      </c>
      <c r="J95" s="131">
        <f t="shared" ref="J95:L96" si="86">IF(BC95=0,SUM(S95+V95+Y95+AB95+AE95+AH95+AK95+AN95+AQ95+AT95+AW95+AZ95),BC95)</f>
        <v>0</v>
      </c>
      <c r="K95" s="131">
        <f t="shared" si="86"/>
        <v>66669.069999999992</v>
      </c>
      <c r="L95" s="131">
        <f t="shared" si="86"/>
        <v>4627.8999999999996</v>
      </c>
      <c r="M95" s="130">
        <f>SUM(M96:M101)</f>
        <v>0</v>
      </c>
      <c r="N95" s="130">
        <f>SUM(N96:N101)</f>
        <v>5199.4000000000015</v>
      </c>
      <c r="O95" s="130">
        <f>SUM(O96:O101)</f>
        <v>463244.58999999997</v>
      </c>
      <c r="P95" s="105" t="e">
        <f t="shared" si="81"/>
        <v>#DIV/0!</v>
      </c>
      <c r="Q95" s="105">
        <f t="shared" si="82"/>
        <v>0.92765394894311792</v>
      </c>
      <c r="R95" s="105">
        <f t="shared" si="83"/>
        <v>9.8913701893436814E-3</v>
      </c>
      <c r="S95" s="130">
        <f>SUM(S96:S101)</f>
        <v>0</v>
      </c>
      <c r="T95" s="130">
        <f>SUM(T96:T101)</f>
        <v>412.5</v>
      </c>
      <c r="U95" s="130">
        <f>SUM(U96:U101)</f>
        <v>0</v>
      </c>
      <c r="V95" s="130">
        <f>SUM(V96:V101)</f>
        <v>0</v>
      </c>
      <c r="W95" s="130">
        <f>SUM(W96:W101)</f>
        <v>15660.66</v>
      </c>
      <c r="X95" s="130">
        <f>SUM(X96:X101)</f>
        <v>0</v>
      </c>
      <c r="Y95" s="130">
        <f>SUM(Y96:Y101)</f>
        <v>0</v>
      </c>
      <c r="Z95" s="130">
        <f>SUM(Z96:Z101)</f>
        <v>36084.959999999999</v>
      </c>
      <c r="AA95" s="130">
        <f>SUM(AA96:AA101)</f>
        <v>0</v>
      </c>
      <c r="AB95" s="130">
        <f>SUM(AB96:AB101)</f>
        <v>0</v>
      </c>
      <c r="AC95" s="130">
        <f>SUM(AC96:AC101)</f>
        <v>0</v>
      </c>
      <c r="AD95" s="130">
        <f>SUM(AD96:AD101)</f>
        <v>0</v>
      </c>
      <c r="AE95" s="130">
        <f>SUM(AE96:AE101)</f>
        <v>0</v>
      </c>
      <c r="AF95" s="130">
        <f>SUM(AF96:AF101)</f>
        <v>10250</v>
      </c>
      <c r="AG95" s="130">
        <f>SUM(AG96:AG101)</f>
        <v>0</v>
      </c>
      <c r="AH95" s="130">
        <f>SUM(AH96:AH101)</f>
        <v>0</v>
      </c>
      <c r="AI95" s="130">
        <f>SUM(AI96:AI101)</f>
        <v>0</v>
      </c>
      <c r="AJ95" s="130">
        <f>SUM(AJ96:AJ101)</f>
        <v>0</v>
      </c>
      <c r="AK95" s="130">
        <f>SUM(AK96:AK101)</f>
        <v>0</v>
      </c>
      <c r="AL95" s="130">
        <f>SUM(AL96:AL101)</f>
        <v>75</v>
      </c>
      <c r="AM95" s="130">
        <f>SUM(AM96:AM101)</f>
        <v>0</v>
      </c>
      <c r="AN95" s="130">
        <f>SUM(AN96:AN101)</f>
        <v>0</v>
      </c>
      <c r="AO95" s="130">
        <f>SUM(AO96:AO101)</f>
        <v>1267.55</v>
      </c>
      <c r="AP95" s="130">
        <f>SUM(AP96:AP101)</f>
        <v>0</v>
      </c>
      <c r="AQ95" s="130">
        <f>SUM(AQ96:AQ101)</f>
        <v>0</v>
      </c>
      <c r="AR95" s="130">
        <f>SUM(AR96:AR101)</f>
        <v>1050</v>
      </c>
      <c r="AS95" s="130">
        <f>SUM(AS96:AS101)</f>
        <v>0</v>
      </c>
      <c r="AT95" s="130">
        <f>SUM(AT96:AT101)</f>
        <v>0</v>
      </c>
      <c r="AU95" s="130">
        <f>SUM(AU96:AU101)</f>
        <v>1149</v>
      </c>
      <c r="AV95" s="130">
        <f>SUM(AV96:AV101)</f>
        <v>4017.1</v>
      </c>
      <c r="AW95" s="130">
        <f>SUM(AW96:AW101)</f>
        <v>0</v>
      </c>
      <c r="AX95" s="130">
        <f>SUM(AX96:AX101)</f>
        <v>0</v>
      </c>
      <c r="AY95" s="130">
        <f>SUM(AY96:AY101)</f>
        <v>610.79999999999995</v>
      </c>
      <c r="AZ95" s="130">
        <f>SUM(AZ96:AZ101)</f>
        <v>0</v>
      </c>
      <c r="BA95" s="130">
        <f>SUM(BA96:BA101)</f>
        <v>719.40000000000009</v>
      </c>
      <c r="BB95" s="130">
        <f>SUM(BB96:BB101)</f>
        <v>0</v>
      </c>
      <c r="BC95" s="130">
        <f>SUM(BC96:BC101)</f>
        <v>0</v>
      </c>
      <c r="BD95" s="130">
        <f>SUM(BD96:BD101)</f>
        <v>0</v>
      </c>
      <c r="BE95" s="130">
        <f>SUM(BE96:BE101)</f>
        <v>0</v>
      </c>
      <c r="BF95" s="31"/>
      <c r="BG95" s="10"/>
      <c r="BH95" s="10"/>
      <c r="BI95" s="10"/>
      <c r="BJ95" s="10"/>
    </row>
    <row r="96" spans="1:62" s="22" customFormat="1" ht="18" customHeight="1" x14ac:dyDescent="0.25">
      <c r="A96" s="47" t="s">
        <v>144</v>
      </c>
      <c r="B96" s="82" t="s">
        <v>114</v>
      </c>
      <c r="C96" s="50"/>
      <c r="D96" s="62">
        <f>412.5</f>
        <v>412.5</v>
      </c>
      <c r="E96" s="50"/>
      <c r="F96" s="50"/>
      <c r="G96" s="52">
        <f t="shared" ref="G96:I96" si="87">S96+V96+Y96+AB96+AE96+AH96+AK96+AN96+AQ96+AT96+AW96+AZ96</f>
        <v>0</v>
      </c>
      <c r="H96" s="52">
        <f t="shared" si="87"/>
        <v>412.5</v>
      </c>
      <c r="I96" s="52">
        <f t="shared" si="87"/>
        <v>0</v>
      </c>
      <c r="J96" s="42">
        <f t="shared" si="86"/>
        <v>0</v>
      </c>
      <c r="K96" s="42">
        <f t="shared" si="86"/>
        <v>412.5</v>
      </c>
      <c r="L96" s="42">
        <f t="shared" si="86"/>
        <v>0</v>
      </c>
      <c r="M96" s="52">
        <f t="shared" ref="M96:N101" si="88">C96-G96</f>
        <v>0</v>
      </c>
      <c r="N96" s="52">
        <f t="shared" si="88"/>
        <v>0</v>
      </c>
      <c r="O96" s="52">
        <f t="shared" ref="O96:O101" si="89">F96-I96</f>
        <v>0</v>
      </c>
      <c r="P96" s="49" t="e">
        <f t="shared" si="81"/>
        <v>#DIV/0!</v>
      </c>
      <c r="Q96" s="49">
        <f t="shared" si="82"/>
        <v>1</v>
      </c>
      <c r="R96" s="49" t="e">
        <f t="shared" si="83"/>
        <v>#DIV/0!</v>
      </c>
      <c r="S96" s="50"/>
      <c r="T96" s="50">
        <v>412.5</v>
      </c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72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25"/>
      <c r="BG96" s="3"/>
      <c r="BH96" s="3"/>
      <c r="BI96" s="3"/>
      <c r="BJ96" s="3"/>
    </row>
    <row r="97" spans="1:62" ht="15.75" x14ac:dyDescent="0.25">
      <c r="A97" s="47" t="s">
        <v>144</v>
      </c>
      <c r="B97" s="82" t="s">
        <v>204</v>
      </c>
      <c r="C97" s="50"/>
      <c r="D97" s="62">
        <f>2187.61+459+323.85+1130+388.49+200+1031.5+1042.55+225+119+4194+9525+1008+42+120+1827+59.9+14.5+2300+1130+156.35+150+62.16+287.8+166.25+2354+2205+1149+10969.4+2520+75+44.26+358.9+1990+799+259.45+1296+4626</f>
        <v>56795.97</v>
      </c>
      <c r="E97" s="62"/>
      <c r="F97" s="50"/>
      <c r="G97" s="52">
        <f t="shared" ref="G97:I100" si="90">S97+V97+Y97+AB97+AE97+AH97+AK97+AN97+AQ97+AT97+AW97+AZ97</f>
        <v>0</v>
      </c>
      <c r="H97" s="52">
        <f t="shared" si="90"/>
        <v>51596.57</v>
      </c>
      <c r="I97" s="52">
        <f t="shared" si="90"/>
        <v>0</v>
      </c>
      <c r="J97" s="42">
        <f t="shared" ref="J97:L100" si="91">IF(BC97=0,SUM(S97+V97+Y97+AB97+AE97+AH97+AK97+AN97+AQ97+AT97+AW97+AZ97),BC97)</f>
        <v>0</v>
      </c>
      <c r="K97" s="42">
        <f t="shared" si="91"/>
        <v>51596.57</v>
      </c>
      <c r="L97" s="42">
        <f t="shared" si="91"/>
        <v>0</v>
      </c>
      <c r="M97" s="52">
        <f t="shared" si="88"/>
        <v>0</v>
      </c>
      <c r="N97" s="52">
        <f t="shared" si="88"/>
        <v>5199.4000000000015</v>
      </c>
      <c r="O97" s="52">
        <f t="shared" si="89"/>
        <v>0</v>
      </c>
      <c r="P97" s="49" t="e">
        <f>G97/C97</f>
        <v>#DIV/0!</v>
      </c>
      <c r="Q97" s="49">
        <f t="shared" si="82"/>
        <v>0.90845477240726757</v>
      </c>
      <c r="R97" s="49" t="e">
        <f>I97/F97</f>
        <v>#DIV/0!</v>
      </c>
      <c r="S97" s="50"/>
      <c r="T97" s="50"/>
      <c r="U97" s="50"/>
      <c r="V97" s="50"/>
      <c r="W97" s="61">
        <f>459+323.85+1130+1031.5+119+4194+2300+1130+156.35+62.16+287.8+2520+1947</f>
        <v>15660.66</v>
      </c>
      <c r="X97" s="50"/>
      <c r="Y97" s="50"/>
      <c r="Z97" s="50">
        <f>2205+4626+9525+166.25+2354+150+1296+44.26+1058.45</f>
        <v>21424.959999999999</v>
      </c>
      <c r="AA97" s="50"/>
      <c r="AB97" s="50"/>
      <c r="AC97" s="50"/>
      <c r="AD97" s="50"/>
      <c r="AE97" s="50"/>
      <c r="AF97" s="50">
        <f>10250</f>
        <v>10250</v>
      </c>
      <c r="AG97" s="50"/>
      <c r="AH97" s="50"/>
      <c r="AI97" s="50"/>
      <c r="AJ97" s="50"/>
      <c r="AK97" s="50"/>
      <c r="AL97" s="50">
        <v>75</v>
      </c>
      <c r="AM97" s="50"/>
      <c r="AN97" s="72"/>
      <c r="AO97" s="50">
        <v>1267.55</v>
      </c>
      <c r="AP97" s="50"/>
      <c r="AQ97" s="50"/>
      <c r="AR97" s="50">
        <f>1050</f>
        <v>1050</v>
      </c>
      <c r="AS97" s="50"/>
      <c r="AT97" s="50"/>
      <c r="AU97" s="50">
        <v>1149</v>
      </c>
      <c r="AV97" s="50"/>
      <c r="AW97" s="50"/>
      <c r="AX97" s="50"/>
      <c r="AY97" s="50"/>
      <c r="AZ97" s="50"/>
      <c r="BA97" s="50">
        <f>347.05+372.35</f>
        <v>719.40000000000009</v>
      </c>
      <c r="BB97" s="50"/>
      <c r="BC97" s="50"/>
      <c r="BD97" s="50"/>
      <c r="BE97" s="50"/>
      <c r="BF97" s="25"/>
      <c r="BG97" s="3"/>
      <c r="BH97" s="3"/>
      <c r="BI97" s="3"/>
      <c r="BJ97" s="3"/>
    </row>
    <row r="98" spans="1:62" s="20" customFormat="1" ht="15.75" x14ac:dyDescent="0.25">
      <c r="A98" s="133" t="s">
        <v>109</v>
      </c>
      <c r="B98" s="173" t="s">
        <v>200</v>
      </c>
      <c r="C98" s="50"/>
      <c r="D98" s="50">
        <v>14660</v>
      </c>
      <c r="E98" s="50"/>
      <c r="F98" s="50"/>
      <c r="G98" s="52">
        <f t="shared" si="90"/>
        <v>0</v>
      </c>
      <c r="H98" s="52">
        <f t="shared" si="90"/>
        <v>14660</v>
      </c>
      <c r="I98" s="52">
        <f t="shared" si="90"/>
        <v>0</v>
      </c>
      <c r="J98" s="42">
        <f t="shared" si="91"/>
        <v>0</v>
      </c>
      <c r="K98" s="42">
        <f t="shared" si="91"/>
        <v>14660</v>
      </c>
      <c r="L98" s="42">
        <f t="shared" si="91"/>
        <v>0</v>
      </c>
      <c r="M98" s="52">
        <f t="shared" si="88"/>
        <v>0</v>
      </c>
      <c r="N98" s="52">
        <f t="shared" si="88"/>
        <v>0</v>
      </c>
      <c r="O98" s="52">
        <f t="shared" si="89"/>
        <v>0</v>
      </c>
      <c r="P98" s="49" t="e">
        <f>G98/C98</f>
        <v>#DIV/0!</v>
      </c>
      <c r="Q98" s="49">
        <f t="shared" si="82"/>
        <v>1</v>
      </c>
      <c r="R98" s="49" t="e">
        <f>I98/F98</f>
        <v>#DIV/0!</v>
      </c>
      <c r="S98" s="50"/>
      <c r="T98" s="50"/>
      <c r="U98" s="50"/>
      <c r="V98" s="50"/>
      <c r="W98" s="50"/>
      <c r="X98" s="50"/>
      <c r="Y98" s="50"/>
      <c r="Z98" s="50">
        <v>14660</v>
      </c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72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25"/>
      <c r="BG98" s="3"/>
      <c r="BH98" s="3"/>
      <c r="BI98" s="3"/>
      <c r="BJ98" s="3"/>
    </row>
    <row r="99" spans="1:62" s="177" customFormat="1" ht="15.75" x14ac:dyDescent="0.25">
      <c r="A99" s="47" t="s">
        <v>153</v>
      </c>
      <c r="B99" s="82" t="s">
        <v>57</v>
      </c>
      <c r="C99" s="50"/>
      <c r="D99" s="50"/>
      <c r="E99" s="50"/>
      <c r="F99" s="50">
        <v>10474.1</v>
      </c>
      <c r="G99" s="52">
        <f t="shared" si="90"/>
        <v>0</v>
      </c>
      <c r="H99" s="52">
        <f t="shared" si="90"/>
        <v>0</v>
      </c>
      <c r="I99" s="52">
        <f t="shared" si="90"/>
        <v>0</v>
      </c>
      <c r="J99" s="42">
        <f t="shared" si="91"/>
        <v>0</v>
      </c>
      <c r="K99" s="42">
        <f t="shared" si="91"/>
        <v>0</v>
      </c>
      <c r="L99" s="42">
        <f t="shared" si="91"/>
        <v>0</v>
      </c>
      <c r="M99" s="52">
        <f t="shared" si="88"/>
        <v>0</v>
      </c>
      <c r="N99" s="52">
        <f t="shared" si="88"/>
        <v>0</v>
      </c>
      <c r="O99" s="52">
        <f t="shared" si="89"/>
        <v>10474.1</v>
      </c>
      <c r="P99" s="49"/>
      <c r="Q99" s="49"/>
      <c r="R99" s="49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72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25"/>
      <c r="BG99" s="3"/>
      <c r="BH99" s="3"/>
      <c r="BI99" s="3"/>
      <c r="BJ99" s="3"/>
    </row>
    <row r="100" spans="1:62" s="167" customFormat="1" ht="15.75" x14ac:dyDescent="0.25">
      <c r="A100" s="172" t="s">
        <v>177</v>
      </c>
      <c r="B100" s="173" t="s">
        <v>201</v>
      </c>
      <c r="C100" s="50"/>
      <c r="D100" s="50"/>
      <c r="E100" s="50"/>
      <c r="F100" s="171">
        <v>452770.49</v>
      </c>
      <c r="G100" s="52">
        <f t="shared" si="90"/>
        <v>0</v>
      </c>
      <c r="H100" s="52">
        <f t="shared" si="90"/>
        <v>0</v>
      </c>
      <c r="I100" s="52">
        <f t="shared" si="90"/>
        <v>0</v>
      </c>
      <c r="J100" s="42">
        <f t="shared" si="91"/>
        <v>0</v>
      </c>
      <c r="K100" s="42">
        <f t="shared" si="91"/>
        <v>0</v>
      </c>
      <c r="L100" s="42">
        <f t="shared" si="91"/>
        <v>0</v>
      </c>
      <c r="M100" s="52">
        <f t="shared" si="88"/>
        <v>0</v>
      </c>
      <c r="N100" s="52">
        <f t="shared" si="88"/>
        <v>0</v>
      </c>
      <c r="O100" s="52">
        <f t="shared" si="89"/>
        <v>452770.49</v>
      </c>
      <c r="P100" s="49"/>
      <c r="Q100" s="49"/>
      <c r="R100" s="49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72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25"/>
      <c r="BG100" s="3"/>
      <c r="BH100" s="3"/>
      <c r="BI100" s="3"/>
      <c r="BJ100" s="3"/>
    </row>
    <row r="101" spans="1:62" ht="31.5" x14ac:dyDescent="0.25">
      <c r="A101" s="47"/>
      <c r="B101" s="82" t="s">
        <v>173</v>
      </c>
      <c r="C101" s="50"/>
      <c r="D101" s="50"/>
      <c r="E101" s="50"/>
      <c r="F101" s="169">
        <f>610.8+3161.1+856</f>
        <v>4627.8999999999996</v>
      </c>
      <c r="G101" s="52">
        <f>S101+V101+Y101+AB101+AE101+AH101+AK101+AN101+AQ101+AT101+AW101+AZ101</f>
        <v>0</v>
      </c>
      <c r="H101" s="52">
        <f>T101+W101+Z101+AC101+AF101+AI101+AL101+AO101+AR101+AU101+AX101+BA101</f>
        <v>0</v>
      </c>
      <c r="I101" s="52">
        <f>U101+X101+AA101+AD101+AG101+AJ101+AM101+AP101+AS101+AV101+AY101+BB101</f>
        <v>4627.8999999999996</v>
      </c>
      <c r="J101" s="42">
        <f t="shared" ref="J101:J123" si="92">IF(BC101=0,SUM(S101+V101+Y101+AB101+AE101+AH101+AK101+AN101+AQ101+AT101+AW101+AZ101),BC101)</f>
        <v>0</v>
      </c>
      <c r="K101" s="42">
        <f t="shared" ref="K101:K123" si="93">IF(BD101=0,SUM(T101+W101+Z101+AC101+AF101+AI101+AL101+AO101+AR101+AU101+AX101+BA101),BD101)</f>
        <v>0</v>
      </c>
      <c r="L101" s="42">
        <f t="shared" ref="L101:L123" si="94">IF(BE101=0,SUM(U101+X101+AA101+AD101+AG101+AJ101+AM101+AP101+AS101+AV101+AY101+BB101),BE101)</f>
        <v>4627.8999999999996</v>
      </c>
      <c r="M101" s="52">
        <f t="shared" si="88"/>
        <v>0</v>
      </c>
      <c r="N101" s="52">
        <f t="shared" si="88"/>
        <v>0</v>
      </c>
      <c r="O101" s="52">
        <f t="shared" si="89"/>
        <v>0</v>
      </c>
      <c r="P101" s="49" t="e">
        <f>G101/C101</f>
        <v>#DIV/0!</v>
      </c>
      <c r="Q101" s="49" t="e">
        <f>H101/D101</f>
        <v>#DIV/0!</v>
      </c>
      <c r="R101" s="49">
        <f>I101/F101</f>
        <v>1</v>
      </c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72"/>
      <c r="AO101" s="50"/>
      <c r="AP101" s="50"/>
      <c r="AQ101" s="50"/>
      <c r="AR101" s="50"/>
      <c r="AS101" s="50"/>
      <c r="AT101" s="50"/>
      <c r="AU101" s="50"/>
      <c r="AV101" s="50">
        <f>4017.1</f>
        <v>4017.1</v>
      </c>
      <c r="AW101" s="50"/>
      <c r="AX101" s="50"/>
      <c r="AY101" s="50">
        <v>610.79999999999995</v>
      </c>
      <c r="AZ101" s="50"/>
      <c r="BA101" s="50"/>
      <c r="BB101" s="50"/>
      <c r="BC101" s="50"/>
      <c r="BD101" s="50"/>
      <c r="BE101" s="50"/>
      <c r="BF101" s="25"/>
      <c r="BG101" s="3"/>
      <c r="BH101" s="3"/>
      <c r="BI101" s="3"/>
      <c r="BJ101" s="3"/>
    </row>
    <row r="102" spans="1:62" ht="15.75" x14ac:dyDescent="0.25">
      <c r="A102" s="128"/>
      <c r="B102" s="129" t="s">
        <v>53</v>
      </c>
      <c r="C102" s="130">
        <f>SUM(C103:C103)</f>
        <v>0</v>
      </c>
      <c r="D102" s="130">
        <f>SUM(D103:D103)</f>
        <v>0</v>
      </c>
      <c r="E102" s="130"/>
      <c r="F102" s="130">
        <f>SUM(F103:F103)</f>
        <v>142873.54999999999</v>
      </c>
      <c r="G102" s="130">
        <f>SUM(G103:G103)</f>
        <v>0</v>
      </c>
      <c r="H102" s="134">
        <f>SUM(H103:H103)</f>
        <v>0</v>
      </c>
      <c r="I102" s="134">
        <f>SUM(I103:I103)</f>
        <v>142873.54999999999</v>
      </c>
      <c r="J102" s="134">
        <f t="shared" si="92"/>
        <v>0</v>
      </c>
      <c r="K102" s="134">
        <f t="shared" si="93"/>
        <v>0</v>
      </c>
      <c r="L102" s="134">
        <f t="shared" si="94"/>
        <v>142873.54999999999</v>
      </c>
      <c r="M102" s="134">
        <f>SUM(M103:M103)</f>
        <v>0</v>
      </c>
      <c r="N102" s="134">
        <f>SUM(N103:N103)</f>
        <v>0</v>
      </c>
      <c r="O102" s="134">
        <f>SUM(O103:O103)</f>
        <v>0</v>
      </c>
      <c r="P102" s="134" t="e">
        <f>SUM(P103:P103)</f>
        <v>#DIV/0!</v>
      </c>
      <c r="Q102" s="134" t="e">
        <f>SUM(Q103:Q103)</f>
        <v>#DIV/0!</v>
      </c>
      <c r="R102" s="134">
        <f>SUM(R103:R103)</f>
        <v>1</v>
      </c>
      <c r="S102" s="130">
        <f>SUM(S103:S103)</f>
        <v>0</v>
      </c>
      <c r="T102" s="130">
        <f>SUM(T103:T103)</f>
        <v>0</v>
      </c>
      <c r="U102" s="130">
        <f>SUM(U103:U103)</f>
        <v>0</v>
      </c>
      <c r="V102" s="130">
        <f>SUM(V103:V103)</f>
        <v>0</v>
      </c>
      <c r="W102" s="130">
        <f>SUM(W103:W103)</f>
        <v>0</v>
      </c>
      <c r="X102" s="130">
        <f>SUM(X103:X103)</f>
        <v>0</v>
      </c>
      <c r="Y102" s="130">
        <f>SUM(Y103:Y103)</f>
        <v>0</v>
      </c>
      <c r="Z102" s="130">
        <f>SUM(Z103:Z103)</f>
        <v>0</v>
      </c>
      <c r="AA102" s="130">
        <f>SUM(AA103:AA103)</f>
        <v>0</v>
      </c>
      <c r="AB102" s="130">
        <f>SUM(AB103:AB103)</f>
        <v>0</v>
      </c>
      <c r="AC102" s="130">
        <f>SUM(AC103:AC103)</f>
        <v>0</v>
      </c>
      <c r="AD102" s="130">
        <f>SUM(AD103:AD103)</f>
        <v>0</v>
      </c>
      <c r="AE102" s="130">
        <f>SUM(AE103:AE103)</f>
        <v>0</v>
      </c>
      <c r="AF102" s="130">
        <f>SUM(AF103:AF103)</f>
        <v>0</v>
      </c>
      <c r="AG102" s="130">
        <f>SUM(AG103:AG103)</f>
        <v>0</v>
      </c>
      <c r="AH102" s="130">
        <f>SUM(AH103:AH103)</f>
        <v>0</v>
      </c>
      <c r="AI102" s="130">
        <f>SUM(AI103:AI103)</f>
        <v>0</v>
      </c>
      <c r="AJ102" s="130">
        <f>SUM(AJ103:AJ103)</f>
        <v>0</v>
      </c>
      <c r="AK102" s="130">
        <f>SUM(AK103:AK103)</f>
        <v>0</v>
      </c>
      <c r="AL102" s="130">
        <f>SUM(AL103:AL103)</f>
        <v>0</v>
      </c>
      <c r="AM102" s="130">
        <f>SUM(AM103:AM103)</f>
        <v>0</v>
      </c>
      <c r="AN102" s="130">
        <f>SUM(AN103:AN103)</f>
        <v>0</v>
      </c>
      <c r="AO102" s="130">
        <f>SUM(AO103:AO103)</f>
        <v>0</v>
      </c>
      <c r="AP102" s="130">
        <f>SUM(AP103:AP103)</f>
        <v>0</v>
      </c>
      <c r="AQ102" s="130">
        <f>SUM(AQ103:AQ103)</f>
        <v>0</v>
      </c>
      <c r="AR102" s="130">
        <f>SUM(AR103:AR103)</f>
        <v>0</v>
      </c>
      <c r="AS102" s="130">
        <f>SUM(AS103:AS103)</f>
        <v>0</v>
      </c>
      <c r="AT102" s="130">
        <f>SUM(AT103:AT103)</f>
        <v>0</v>
      </c>
      <c r="AU102" s="130">
        <f>SUM(AU103:AU103)</f>
        <v>0</v>
      </c>
      <c r="AV102" s="130">
        <f>SUM(AV103:AV103)</f>
        <v>0</v>
      </c>
      <c r="AW102" s="130">
        <f>SUM(AW103:AW103)</f>
        <v>0</v>
      </c>
      <c r="AX102" s="130">
        <f>SUM(AX103:AX103)</f>
        <v>0</v>
      </c>
      <c r="AY102" s="130">
        <f>SUM(AY103:AY103)</f>
        <v>0</v>
      </c>
      <c r="AZ102" s="130">
        <f>SUM(AZ103:AZ103)</f>
        <v>0</v>
      </c>
      <c r="BA102" s="130">
        <f>SUM(BA103:BA103)</f>
        <v>0</v>
      </c>
      <c r="BB102" s="130">
        <f>SUM(BB103:BB103)</f>
        <v>142873.54999999999</v>
      </c>
      <c r="BC102" s="130">
        <f>SUM(BC103:BC103)</f>
        <v>0</v>
      </c>
      <c r="BD102" s="130">
        <f>SUM(BD103:BD103)</f>
        <v>0</v>
      </c>
      <c r="BE102" s="130">
        <f>SUM(BE103:BE103)</f>
        <v>0</v>
      </c>
      <c r="BF102" s="31"/>
      <c r="BG102" s="10"/>
      <c r="BH102" s="10"/>
      <c r="BI102" s="10"/>
      <c r="BJ102" s="10"/>
    </row>
    <row r="103" spans="1:62" ht="31.5" x14ac:dyDescent="0.25">
      <c r="A103" s="47" t="s">
        <v>151</v>
      </c>
      <c r="B103" s="111" t="s">
        <v>54</v>
      </c>
      <c r="C103" s="50"/>
      <c r="D103" s="50"/>
      <c r="E103" s="50"/>
      <c r="F103" s="50">
        <f>11360+14640+13920+102953.55</f>
        <v>142873.54999999999</v>
      </c>
      <c r="G103" s="52">
        <f t="shared" ref="G103:I103" si="95">S103+V103+Y103+AB103+AE103+AH103+AK103+AN103+AQ103+AT103+AW103+AZ103</f>
        <v>0</v>
      </c>
      <c r="H103" s="52">
        <f t="shared" si="95"/>
        <v>0</v>
      </c>
      <c r="I103" s="52">
        <f t="shared" si="95"/>
        <v>142873.54999999999</v>
      </c>
      <c r="J103" s="42">
        <f t="shared" si="92"/>
        <v>0</v>
      </c>
      <c r="K103" s="42">
        <f t="shared" si="93"/>
        <v>0</v>
      </c>
      <c r="L103" s="42">
        <f t="shared" si="94"/>
        <v>142873.54999999999</v>
      </c>
      <c r="M103" s="52">
        <f t="shared" ref="M103:N103" si="96">C103-G103</f>
        <v>0</v>
      </c>
      <c r="N103" s="52">
        <f t="shared" si="96"/>
        <v>0</v>
      </c>
      <c r="O103" s="52">
        <f>F103-I103</f>
        <v>0</v>
      </c>
      <c r="P103" s="54" t="e">
        <f t="shared" ref="P103:Q103" si="97">G103/C103</f>
        <v>#DIV/0!</v>
      </c>
      <c r="Q103" s="54" t="e">
        <f t="shared" si="97"/>
        <v>#DIV/0!</v>
      </c>
      <c r="R103" s="54">
        <f>I103/F103</f>
        <v>1</v>
      </c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72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>
        <v>142873.54999999999</v>
      </c>
      <c r="BC103" s="50"/>
      <c r="BD103" s="50"/>
      <c r="BE103" s="50"/>
      <c r="BF103" s="25"/>
      <c r="BG103" s="3"/>
      <c r="BH103" s="3"/>
      <c r="BI103" s="3"/>
      <c r="BJ103" s="3"/>
    </row>
    <row r="104" spans="1:62" ht="15.75" customHeight="1" x14ac:dyDescent="0.25">
      <c r="A104" s="128"/>
      <c r="B104" s="135" t="s">
        <v>55</v>
      </c>
      <c r="C104" s="136">
        <f>SUM(C105:C105)</f>
        <v>181352.78</v>
      </c>
      <c r="D104" s="136">
        <f>SUM(D105:D105)</f>
        <v>0</v>
      </c>
      <c r="E104" s="136"/>
      <c r="F104" s="136">
        <f>SUM(F105:F105)</f>
        <v>0</v>
      </c>
      <c r="G104" s="136">
        <f>SUM(G105:G105)</f>
        <v>0</v>
      </c>
      <c r="H104" s="159">
        <f>SUM(H105:H105)</f>
        <v>0</v>
      </c>
      <c r="I104" s="159">
        <f>SUM(I105:I105)</f>
        <v>0</v>
      </c>
      <c r="J104" s="159">
        <f t="shared" si="92"/>
        <v>0</v>
      </c>
      <c r="K104" s="159">
        <f t="shared" si="93"/>
        <v>0</v>
      </c>
      <c r="L104" s="159">
        <f t="shared" si="94"/>
        <v>0</v>
      </c>
      <c r="M104" s="136">
        <f>SUM(M105:M105)</f>
        <v>181352.78</v>
      </c>
      <c r="N104" s="104">
        <f>SUM(N105:N105)</f>
        <v>0</v>
      </c>
      <c r="O104" s="104">
        <f>SUM(O105:O105)</f>
        <v>0</v>
      </c>
      <c r="P104" s="104">
        <f>SUM(P105:P105)</f>
        <v>0</v>
      </c>
      <c r="Q104" s="104" t="e">
        <f>SUM(Q105:Q105)</f>
        <v>#DIV/0!</v>
      </c>
      <c r="R104" s="104" t="e">
        <f>SUM(R105:R105)</f>
        <v>#DIV/0!</v>
      </c>
      <c r="S104" s="136">
        <f>SUM(S105:S105)</f>
        <v>0</v>
      </c>
      <c r="T104" s="136">
        <f>SUM(T105:T105)</f>
        <v>0</v>
      </c>
      <c r="U104" s="136">
        <f>SUM(U105:U105)</f>
        <v>0</v>
      </c>
      <c r="V104" s="136">
        <f>SUM(V105:V105)</f>
        <v>0</v>
      </c>
      <c r="W104" s="136">
        <f>SUM(W105:W105)</f>
        <v>0</v>
      </c>
      <c r="X104" s="136">
        <f>SUM(X105:X105)</f>
        <v>0</v>
      </c>
      <c r="Y104" s="136">
        <f>SUM(Y105:Y105)</f>
        <v>0</v>
      </c>
      <c r="Z104" s="136">
        <f>SUM(Z105:Z105)</f>
        <v>0</v>
      </c>
      <c r="AA104" s="136">
        <f>SUM(AA105:AA105)</f>
        <v>0</v>
      </c>
      <c r="AB104" s="136">
        <f>SUM(AB105:AB105)</f>
        <v>0</v>
      </c>
      <c r="AC104" s="136">
        <f>SUM(AC105:AC105)</f>
        <v>0</v>
      </c>
      <c r="AD104" s="136">
        <f>SUM(AD105:AD105)</f>
        <v>0</v>
      </c>
      <c r="AE104" s="136">
        <f>SUM(AE105:AE105)</f>
        <v>0</v>
      </c>
      <c r="AF104" s="136">
        <f>SUM(AF105:AF105)</f>
        <v>0</v>
      </c>
      <c r="AG104" s="136">
        <f>SUM(AG105:AG105)</f>
        <v>0</v>
      </c>
      <c r="AH104" s="136">
        <f>SUM(AH105:AH105)</f>
        <v>0</v>
      </c>
      <c r="AI104" s="136">
        <f>SUM(AI105:AI105)</f>
        <v>0</v>
      </c>
      <c r="AJ104" s="136">
        <f>SUM(AJ105:AJ105)</f>
        <v>0</v>
      </c>
      <c r="AK104" s="136">
        <f>SUM(AK105:AK105)</f>
        <v>0</v>
      </c>
      <c r="AL104" s="136">
        <f>SUM(AL105:AL105)</f>
        <v>0</v>
      </c>
      <c r="AM104" s="136">
        <f>SUM(AM105:AM105)</f>
        <v>0</v>
      </c>
      <c r="AN104" s="136">
        <f>SUM(AN105:AN105)</f>
        <v>0</v>
      </c>
      <c r="AO104" s="136">
        <f>SUM(AO105:AO105)</f>
        <v>0</v>
      </c>
      <c r="AP104" s="136">
        <f>SUM(AP105:AP105)</f>
        <v>0</v>
      </c>
      <c r="AQ104" s="136">
        <f>SUM(AQ105:AQ105)</f>
        <v>0</v>
      </c>
      <c r="AR104" s="136">
        <f>SUM(AR105:AR105)</f>
        <v>0</v>
      </c>
      <c r="AS104" s="136">
        <f>SUM(AS105:AS105)</f>
        <v>0</v>
      </c>
      <c r="AT104" s="136">
        <f>SUM(AT105:AT105)</f>
        <v>0</v>
      </c>
      <c r="AU104" s="136">
        <f>SUM(AU105:AU105)</f>
        <v>0</v>
      </c>
      <c r="AV104" s="136">
        <f>SUM(AV105:AV105)</f>
        <v>0</v>
      </c>
      <c r="AW104" s="136">
        <f>SUM(AW105:AW105)</f>
        <v>0</v>
      </c>
      <c r="AX104" s="136">
        <f>SUM(AX105:AX105)</f>
        <v>0</v>
      </c>
      <c r="AY104" s="136">
        <f>SUM(AY105:AY105)</f>
        <v>0</v>
      </c>
      <c r="AZ104" s="136">
        <f>SUM(AZ105:AZ105)</f>
        <v>0</v>
      </c>
      <c r="BA104" s="136">
        <f>SUM(BA105:BA105)</f>
        <v>0</v>
      </c>
      <c r="BB104" s="136">
        <f>SUM(BB105:BB105)</f>
        <v>0</v>
      </c>
      <c r="BC104" s="136">
        <f>SUM(BC105:BC105)</f>
        <v>0</v>
      </c>
      <c r="BD104" s="136">
        <f>SUM(BD105:BD105)</f>
        <v>0</v>
      </c>
      <c r="BE104" s="136">
        <f>SUM(BE105:BE105)</f>
        <v>0</v>
      </c>
      <c r="BF104" s="31"/>
      <c r="BG104" s="10"/>
      <c r="BH104" s="10"/>
      <c r="BI104" s="10"/>
      <c r="BJ104" s="10"/>
    </row>
    <row r="105" spans="1:62" ht="15.75" customHeight="1" x14ac:dyDescent="0.25">
      <c r="A105" s="59" t="s">
        <v>152</v>
      </c>
      <c r="B105" s="48" t="s">
        <v>97</v>
      </c>
      <c r="C105" s="50">
        <f>130000+63192.78-11840</f>
        <v>181352.78</v>
      </c>
      <c r="D105" s="50"/>
      <c r="E105" s="50"/>
      <c r="F105" s="50"/>
      <c r="G105" s="52">
        <f t="shared" ref="G105:I105" si="98">S105+V105+Y105+AB105+AE105+AH105+AK105+AN105+AQ105+AT105+AW105+AZ105</f>
        <v>0</v>
      </c>
      <c r="H105" s="52">
        <f t="shared" si="98"/>
        <v>0</v>
      </c>
      <c r="I105" s="52">
        <f t="shared" si="98"/>
        <v>0</v>
      </c>
      <c r="J105" s="42">
        <f t="shared" si="92"/>
        <v>0</v>
      </c>
      <c r="K105" s="42">
        <f t="shared" si="93"/>
        <v>0</v>
      </c>
      <c r="L105" s="42">
        <f t="shared" si="94"/>
        <v>0</v>
      </c>
      <c r="M105" s="52">
        <f t="shared" ref="M105:N105" si="99">C105-G105</f>
        <v>181352.78</v>
      </c>
      <c r="N105" s="52">
        <f t="shared" si="99"/>
        <v>0</v>
      </c>
      <c r="O105" s="52">
        <f>F105-I105</f>
        <v>0</v>
      </c>
      <c r="P105" s="54">
        <f t="shared" ref="P105:Q105" si="100">G105/C105</f>
        <v>0</v>
      </c>
      <c r="Q105" s="54" t="e">
        <f t="shared" si="100"/>
        <v>#DIV/0!</v>
      </c>
      <c r="R105" s="54" t="e">
        <f>I105/F105</f>
        <v>#DIV/0!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25"/>
      <c r="BG105" s="3"/>
      <c r="BH105" s="3"/>
      <c r="BI105" s="3"/>
      <c r="BJ105" s="3"/>
    </row>
    <row r="106" spans="1:62" ht="15.75" customHeight="1" x14ac:dyDescent="0.25">
      <c r="A106" s="128"/>
      <c r="B106" s="135" t="s">
        <v>56</v>
      </c>
      <c r="C106" s="136">
        <f>SUM(C107:C108)</f>
        <v>0</v>
      </c>
      <c r="D106" s="136">
        <f>SUM(D107:D108)</f>
        <v>0</v>
      </c>
      <c r="E106" s="136"/>
      <c r="F106" s="136">
        <f>SUM(F107:F108)</f>
        <v>92788.930000000008</v>
      </c>
      <c r="G106" s="136">
        <f>SUM(G107:G108)</f>
        <v>0</v>
      </c>
      <c r="H106" s="159">
        <f>SUM(H107:H108)</f>
        <v>0</v>
      </c>
      <c r="I106" s="159">
        <f>SUM(I107:I108)</f>
        <v>88551.73</v>
      </c>
      <c r="J106" s="159">
        <f t="shared" si="92"/>
        <v>0</v>
      </c>
      <c r="K106" s="159">
        <f t="shared" si="93"/>
        <v>0</v>
      </c>
      <c r="L106" s="159">
        <f t="shared" si="94"/>
        <v>88551.73</v>
      </c>
      <c r="M106" s="136">
        <f>SUM(M107:M108)</f>
        <v>0</v>
      </c>
      <c r="N106" s="104">
        <f>SUM(N107:N108)</f>
        <v>0</v>
      </c>
      <c r="O106" s="104">
        <f>SUM(O107:O108)</f>
        <v>4237.2</v>
      </c>
      <c r="P106" s="104" t="e">
        <f>SUM(P107:P108)</f>
        <v>#DIV/0!</v>
      </c>
      <c r="Q106" s="104" t="e">
        <f>SUM(Q107:Q108)</f>
        <v>#DIV/0!</v>
      </c>
      <c r="R106" s="104">
        <f>SUM(R107:R108)</f>
        <v>0.99999999999999989</v>
      </c>
      <c r="S106" s="136">
        <f>SUM(S107:S108)</f>
        <v>0</v>
      </c>
      <c r="T106" s="136">
        <f>SUM(T107:T108)</f>
        <v>0</v>
      </c>
      <c r="U106" s="136">
        <f>SUM(U107:U108)</f>
        <v>0</v>
      </c>
      <c r="V106" s="136">
        <f>SUM(V107:V108)</f>
        <v>0</v>
      </c>
      <c r="W106" s="136">
        <f>SUM(W107:W108)</f>
        <v>0</v>
      </c>
      <c r="X106" s="136">
        <f>SUM(X107:X108)</f>
        <v>0</v>
      </c>
      <c r="Y106" s="136">
        <f>SUM(Y107:Y108)</f>
        <v>0</v>
      </c>
      <c r="Z106" s="136">
        <f>SUM(Z107:Z108)</f>
        <v>0</v>
      </c>
      <c r="AA106" s="136">
        <f>SUM(AA107:AA108)</f>
        <v>0</v>
      </c>
      <c r="AB106" s="136">
        <f>SUM(AB107:AB108)</f>
        <v>0</v>
      </c>
      <c r="AC106" s="136">
        <f>SUM(AC107:AC108)</f>
        <v>0</v>
      </c>
      <c r="AD106" s="136">
        <f>SUM(AD107:AD108)</f>
        <v>0</v>
      </c>
      <c r="AE106" s="136">
        <f>SUM(AE107:AE108)</f>
        <v>0</v>
      </c>
      <c r="AF106" s="136">
        <f>SUM(AF107:AF108)</f>
        <v>0</v>
      </c>
      <c r="AG106" s="136">
        <f>SUM(AG107:AG108)</f>
        <v>0</v>
      </c>
      <c r="AH106" s="136">
        <f>SUM(AH107:AH108)</f>
        <v>0</v>
      </c>
      <c r="AI106" s="136">
        <f>SUM(AI107:AI108)</f>
        <v>0</v>
      </c>
      <c r="AJ106" s="136">
        <f>SUM(AJ107:AJ108)</f>
        <v>0</v>
      </c>
      <c r="AK106" s="136">
        <f>SUM(AK107:AK108)</f>
        <v>0</v>
      </c>
      <c r="AL106" s="136">
        <f>SUM(AL107:AL108)</f>
        <v>0</v>
      </c>
      <c r="AM106" s="136">
        <f>SUM(AM107:AM108)</f>
        <v>0</v>
      </c>
      <c r="AN106" s="136">
        <f>SUM(AN107:AN108)</f>
        <v>0</v>
      </c>
      <c r="AO106" s="136">
        <f>SUM(AO107:AO108)</f>
        <v>0</v>
      </c>
      <c r="AP106" s="136">
        <f>SUM(AP107:AP108)</f>
        <v>0</v>
      </c>
      <c r="AQ106" s="136">
        <f>SUM(AQ107:AQ108)</f>
        <v>0</v>
      </c>
      <c r="AR106" s="136">
        <f>SUM(AR107:AR108)</f>
        <v>0</v>
      </c>
      <c r="AS106" s="136">
        <f>SUM(AS107:AS108)</f>
        <v>0</v>
      </c>
      <c r="AT106" s="136">
        <f>SUM(AT107:AT108)</f>
        <v>0</v>
      </c>
      <c r="AU106" s="136">
        <f>SUM(AU107:AU108)</f>
        <v>0</v>
      </c>
      <c r="AV106" s="136">
        <f>SUM(AV107:AV108)</f>
        <v>0</v>
      </c>
      <c r="AW106" s="136">
        <f>SUM(AW107:AW108)</f>
        <v>0</v>
      </c>
      <c r="AX106" s="136">
        <f>SUM(AX107:AX108)</f>
        <v>0</v>
      </c>
      <c r="AY106" s="136">
        <f>SUM(AY107:AY108)</f>
        <v>2147</v>
      </c>
      <c r="AZ106" s="136">
        <f>SUM(AZ107:AZ108)</f>
        <v>0</v>
      </c>
      <c r="BA106" s="136">
        <f>SUM(BA107:BA108)</f>
        <v>0</v>
      </c>
      <c r="BB106" s="136">
        <f>SUM(BB107:BB108)</f>
        <v>86404.73</v>
      </c>
      <c r="BC106" s="136">
        <f>SUM(BC107:BC108)</f>
        <v>0</v>
      </c>
      <c r="BD106" s="136">
        <f>SUM(BD107:BD108)</f>
        <v>0</v>
      </c>
      <c r="BE106" s="136">
        <f>SUM(BE107:BE108)</f>
        <v>0</v>
      </c>
      <c r="BF106" s="31"/>
      <c r="BG106" s="10"/>
      <c r="BH106" s="10"/>
      <c r="BI106" s="10"/>
      <c r="BJ106" s="10"/>
    </row>
    <row r="107" spans="1:62" ht="15.75" customHeight="1" x14ac:dyDescent="0.25">
      <c r="A107" s="47" t="s">
        <v>152</v>
      </c>
      <c r="B107" s="118" t="s">
        <v>176</v>
      </c>
      <c r="C107" s="50"/>
      <c r="D107" s="50"/>
      <c r="E107" s="50"/>
      <c r="F107" s="119">
        <f>4237.2</f>
        <v>4237.2</v>
      </c>
      <c r="G107" s="52">
        <f t="shared" ref="G107:I108" si="101">S107+V107+Y107+AB107+AE107+AH107+AK107+AN107+AQ107+AT107+AW107+AZ107</f>
        <v>0</v>
      </c>
      <c r="H107" s="52">
        <f t="shared" si="101"/>
        <v>0</v>
      </c>
      <c r="I107" s="52">
        <f t="shared" si="101"/>
        <v>0</v>
      </c>
      <c r="J107" s="42">
        <f t="shared" si="92"/>
        <v>0</v>
      </c>
      <c r="K107" s="42">
        <f t="shared" si="93"/>
        <v>0</v>
      </c>
      <c r="L107" s="42">
        <f t="shared" si="94"/>
        <v>0</v>
      </c>
      <c r="M107" s="52">
        <f t="shared" ref="M107:N108" si="102">C107-G107</f>
        <v>0</v>
      </c>
      <c r="N107" s="52">
        <f t="shared" si="102"/>
        <v>0</v>
      </c>
      <c r="O107" s="52">
        <f>F107-I107</f>
        <v>4237.2</v>
      </c>
      <c r="P107" s="54" t="e">
        <f t="shared" ref="P107:P123" si="103">G107/C107</f>
        <v>#DIV/0!</v>
      </c>
      <c r="Q107" s="54" t="e">
        <f t="shared" ref="Q107:Q124" si="104">H107/D107</f>
        <v>#DIV/0!</v>
      </c>
      <c r="R107" s="54">
        <f t="shared" ref="R107:R123" si="105">I107/F107</f>
        <v>0</v>
      </c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25"/>
      <c r="BG107" s="3"/>
      <c r="BH107" s="3"/>
      <c r="BI107" s="3"/>
      <c r="BJ107" s="3"/>
    </row>
    <row r="108" spans="1:62" ht="15.75" customHeight="1" x14ac:dyDescent="0.25">
      <c r="A108" s="47" t="s">
        <v>153</v>
      </c>
      <c r="B108" s="82" t="s">
        <v>160</v>
      </c>
      <c r="C108" s="119"/>
      <c r="D108" s="50"/>
      <c r="E108" s="50"/>
      <c r="F108" s="119">
        <f>1806.49+14161.16+2147+50205.9+3498.48+1353.07+1790.92+1093.89+1947+1491.6+9056.22</f>
        <v>88551.73000000001</v>
      </c>
      <c r="G108" s="52">
        <f t="shared" si="101"/>
        <v>0</v>
      </c>
      <c r="H108" s="52">
        <f t="shared" si="101"/>
        <v>0</v>
      </c>
      <c r="I108" s="52">
        <f t="shared" si="101"/>
        <v>88551.73</v>
      </c>
      <c r="J108" s="42">
        <f t="shared" si="92"/>
        <v>0</v>
      </c>
      <c r="K108" s="42">
        <f t="shared" si="93"/>
        <v>0</v>
      </c>
      <c r="L108" s="42">
        <f t="shared" si="94"/>
        <v>88551.73</v>
      </c>
      <c r="M108" s="52">
        <f t="shared" si="102"/>
        <v>0</v>
      </c>
      <c r="N108" s="52">
        <f t="shared" si="102"/>
        <v>0</v>
      </c>
      <c r="O108" s="52">
        <f>F108-I108</f>
        <v>0</v>
      </c>
      <c r="P108" s="54" t="e">
        <f t="shared" si="103"/>
        <v>#DIV/0!</v>
      </c>
      <c r="Q108" s="54" t="e">
        <f t="shared" si="104"/>
        <v>#DIV/0!</v>
      </c>
      <c r="R108" s="54">
        <f t="shared" si="105"/>
        <v>0.99999999999999989</v>
      </c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>
        <v>2147</v>
      </c>
      <c r="AZ108" s="50"/>
      <c r="BA108" s="50"/>
      <c r="BB108" s="50">
        <f>86399.73+5</f>
        <v>86404.73</v>
      </c>
      <c r="BC108" s="50"/>
      <c r="BD108" s="50"/>
      <c r="BE108" s="50"/>
      <c r="BF108" s="25"/>
      <c r="BG108" s="3"/>
      <c r="BH108" s="3"/>
      <c r="BI108" s="3"/>
      <c r="BJ108" s="3"/>
    </row>
    <row r="109" spans="1:62" ht="15.75" hidden="1" x14ac:dyDescent="0.25">
      <c r="A109" s="127"/>
      <c r="B109" s="103" t="s">
        <v>58</v>
      </c>
      <c r="C109" s="104">
        <f t="shared" ref="C109:I109" si="106">SUM(C110:C112)</f>
        <v>0</v>
      </c>
      <c r="D109" s="104">
        <f t="shared" si="106"/>
        <v>0</v>
      </c>
      <c r="E109" s="104"/>
      <c r="F109" s="104">
        <f t="shared" si="106"/>
        <v>0</v>
      </c>
      <c r="G109" s="104">
        <f t="shared" si="106"/>
        <v>0</v>
      </c>
      <c r="H109" s="104">
        <f t="shared" si="106"/>
        <v>0</v>
      </c>
      <c r="I109" s="104">
        <f t="shared" si="106"/>
        <v>0</v>
      </c>
      <c r="J109" s="158">
        <f t="shared" si="92"/>
        <v>0</v>
      </c>
      <c r="K109" s="158">
        <f t="shared" si="93"/>
        <v>0</v>
      </c>
      <c r="L109" s="158">
        <f t="shared" si="94"/>
        <v>0</v>
      </c>
      <c r="M109" s="104">
        <f>SUM(M110:M112)</f>
        <v>0</v>
      </c>
      <c r="N109" s="104">
        <f>SUM(N110:N112)</f>
        <v>0</v>
      </c>
      <c r="O109" s="104">
        <f>SUM(O110:O112)</f>
        <v>0</v>
      </c>
      <c r="P109" s="106" t="e">
        <f t="shared" si="103"/>
        <v>#DIV/0!</v>
      </c>
      <c r="Q109" s="106" t="e">
        <f t="shared" si="104"/>
        <v>#DIV/0!</v>
      </c>
      <c r="R109" s="106" t="e">
        <f t="shared" si="105"/>
        <v>#DIV/0!</v>
      </c>
      <c r="S109" s="104">
        <f t="shared" ref="S109:BE109" si="107">SUM(S110:S112)</f>
        <v>0</v>
      </c>
      <c r="T109" s="104">
        <f t="shared" si="107"/>
        <v>0</v>
      </c>
      <c r="U109" s="104">
        <f t="shared" si="107"/>
        <v>0</v>
      </c>
      <c r="V109" s="104">
        <f t="shared" si="107"/>
        <v>0</v>
      </c>
      <c r="W109" s="104">
        <f t="shared" si="107"/>
        <v>0</v>
      </c>
      <c r="X109" s="104">
        <f t="shared" si="107"/>
        <v>0</v>
      </c>
      <c r="Y109" s="104">
        <f t="shared" si="107"/>
        <v>0</v>
      </c>
      <c r="Z109" s="104">
        <f t="shared" si="107"/>
        <v>0</v>
      </c>
      <c r="AA109" s="104">
        <f t="shared" si="107"/>
        <v>0</v>
      </c>
      <c r="AB109" s="104">
        <f t="shared" si="107"/>
        <v>0</v>
      </c>
      <c r="AC109" s="104">
        <f t="shared" si="107"/>
        <v>0</v>
      </c>
      <c r="AD109" s="104">
        <f t="shared" si="107"/>
        <v>0</v>
      </c>
      <c r="AE109" s="104">
        <f t="shared" si="107"/>
        <v>0</v>
      </c>
      <c r="AF109" s="104">
        <f t="shared" si="107"/>
        <v>0</v>
      </c>
      <c r="AG109" s="104">
        <f t="shared" si="107"/>
        <v>0</v>
      </c>
      <c r="AH109" s="104">
        <f t="shared" si="107"/>
        <v>0</v>
      </c>
      <c r="AI109" s="104">
        <f t="shared" si="107"/>
        <v>0</v>
      </c>
      <c r="AJ109" s="104">
        <f t="shared" si="107"/>
        <v>0</v>
      </c>
      <c r="AK109" s="104">
        <f t="shared" si="107"/>
        <v>0</v>
      </c>
      <c r="AL109" s="104">
        <f t="shared" si="107"/>
        <v>0</v>
      </c>
      <c r="AM109" s="104">
        <f t="shared" si="107"/>
        <v>0</v>
      </c>
      <c r="AN109" s="104">
        <f t="shared" si="107"/>
        <v>0</v>
      </c>
      <c r="AO109" s="104">
        <f t="shared" si="107"/>
        <v>0</v>
      </c>
      <c r="AP109" s="104">
        <f t="shared" si="107"/>
        <v>0</v>
      </c>
      <c r="AQ109" s="104">
        <f t="shared" si="107"/>
        <v>0</v>
      </c>
      <c r="AR109" s="104">
        <f t="shared" si="107"/>
        <v>0</v>
      </c>
      <c r="AS109" s="104">
        <f t="shared" si="107"/>
        <v>0</v>
      </c>
      <c r="AT109" s="104">
        <f t="shared" si="107"/>
        <v>0</v>
      </c>
      <c r="AU109" s="104">
        <f t="shared" si="107"/>
        <v>0</v>
      </c>
      <c r="AV109" s="104">
        <f t="shared" si="107"/>
        <v>0</v>
      </c>
      <c r="AW109" s="104">
        <f t="shared" si="107"/>
        <v>0</v>
      </c>
      <c r="AX109" s="104">
        <f t="shared" si="107"/>
        <v>0</v>
      </c>
      <c r="AY109" s="104">
        <f t="shared" si="107"/>
        <v>0</v>
      </c>
      <c r="AZ109" s="104">
        <f t="shared" si="107"/>
        <v>0</v>
      </c>
      <c r="BA109" s="104">
        <f t="shared" si="107"/>
        <v>0</v>
      </c>
      <c r="BB109" s="104">
        <f t="shared" si="107"/>
        <v>0</v>
      </c>
      <c r="BC109" s="104">
        <f t="shared" si="107"/>
        <v>0</v>
      </c>
      <c r="BD109" s="104">
        <f t="shared" si="107"/>
        <v>0</v>
      </c>
      <c r="BE109" s="104">
        <f t="shared" si="107"/>
        <v>0</v>
      </c>
      <c r="BF109" s="28"/>
      <c r="BG109" s="6"/>
      <c r="BH109" s="6"/>
      <c r="BI109" s="6"/>
      <c r="BJ109" s="6"/>
    </row>
    <row r="110" spans="1:62" ht="15.75" hidden="1" customHeight="1" x14ac:dyDescent="0.25">
      <c r="A110" s="47" t="s">
        <v>139</v>
      </c>
      <c r="B110" s="82" t="s">
        <v>52</v>
      </c>
      <c r="C110" s="115"/>
      <c r="D110" s="50"/>
      <c r="E110" s="50"/>
      <c r="F110" s="119"/>
      <c r="G110" s="52">
        <f t="shared" ref="G110:I112" si="108">S110+V110+Y110+AB110+AE110+AH110+AK110+AN110+AQ110+AT110+AW110+AZ110</f>
        <v>0</v>
      </c>
      <c r="H110" s="52">
        <f t="shared" si="108"/>
        <v>0</v>
      </c>
      <c r="I110" s="52">
        <f t="shared" si="108"/>
        <v>0</v>
      </c>
      <c r="J110" s="42">
        <f t="shared" si="92"/>
        <v>0</v>
      </c>
      <c r="K110" s="42">
        <f t="shared" si="93"/>
        <v>0</v>
      </c>
      <c r="L110" s="42">
        <f t="shared" si="94"/>
        <v>0</v>
      </c>
      <c r="M110" s="52">
        <f t="shared" ref="M110:N112" si="109">C110-G110</f>
        <v>0</v>
      </c>
      <c r="N110" s="52">
        <f t="shared" si="109"/>
        <v>0</v>
      </c>
      <c r="O110" s="52">
        <f>F110-I110</f>
        <v>0</v>
      </c>
      <c r="P110" s="54" t="e">
        <f t="shared" si="103"/>
        <v>#DIV/0!</v>
      </c>
      <c r="Q110" s="54" t="e">
        <f t="shared" si="104"/>
        <v>#DIV/0!</v>
      </c>
      <c r="R110" s="54" t="e">
        <f t="shared" si="105"/>
        <v>#DIV/0!</v>
      </c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25"/>
      <c r="BG110" s="3"/>
      <c r="BH110" s="3"/>
      <c r="BI110" s="3"/>
      <c r="BJ110" s="3"/>
    </row>
    <row r="111" spans="1:62" ht="15.75" hidden="1" customHeight="1" x14ac:dyDescent="0.25">
      <c r="A111" s="47" t="s">
        <v>150</v>
      </c>
      <c r="B111" s="82" t="s">
        <v>59</v>
      </c>
      <c r="C111" s="72"/>
      <c r="D111" s="50"/>
      <c r="E111" s="50"/>
      <c r="F111" s="119"/>
      <c r="G111" s="52">
        <f t="shared" si="108"/>
        <v>0</v>
      </c>
      <c r="H111" s="52">
        <f t="shared" si="108"/>
        <v>0</v>
      </c>
      <c r="I111" s="52">
        <f t="shared" si="108"/>
        <v>0</v>
      </c>
      <c r="J111" s="42">
        <f t="shared" si="92"/>
        <v>0</v>
      </c>
      <c r="K111" s="42">
        <f t="shared" si="93"/>
        <v>0</v>
      </c>
      <c r="L111" s="42">
        <f t="shared" si="94"/>
        <v>0</v>
      </c>
      <c r="M111" s="52">
        <f t="shared" si="109"/>
        <v>0</v>
      </c>
      <c r="N111" s="52">
        <f t="shared" si="109"/>
        <v>0</v>
      </c>
      <c r="O111" s="52">
        <f>F111-I111</f>
        <v>0</v>
      </c>
      <c r="P111" s="54" t="e">
        <f t="shared" si="103"/>
        <v>#DIV/0!</v>
      </c>
      <c r="Q111" s="54" t="e">
        <f t="shared" si="104"/>
        <v>#DIV/0!</v>
      </c>
      <c r="R111" s="54" t="e">
        <f t="shared" si="105"/>
        <v>#DIV/0!</v>
      </c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25"/>
      <c r="BG111" s="3"/>
      <c r="BH111" s="3"/>
      <c r="BI111" s="3"/>
      <c r="BJ111" s="3"/>
    </row>
    <row r="112" spans="1:62" ht="15.75" hidden="1" customHeight="1" x14ac:dyDescent="0.25">
      <c r="A112" s="47" t="s">
        <v>139</v>
      </c>
      <c r="B112" s="82" t="s">
        <v>60</v>
      </c>
      <c r="C112" s="50"/>
      <c r="D112" s="50"/>
      <c r="E112" s="50"/>
      <c r="F112" s="50"/>
      <c r="G112" s="52">
        <f t="shared" si="108"/>
        <v>0</v>
      </c>
      <c r="H112" s="52">
        <f t="shared" si="108"/>
        <v>0</v>
      </c>
      <c r="I112" s="52">
        <f t="shared" si="108"/>
        <v>0</v>
      </c>
      <c r="J112" s="42">
        <f t="shared" si="92"/>
        <v>0</v>
      </c>
      <c r="K112" s="42">
        <f t="shared" si="93"/>
        <v>0</v>
      </c>
      <c r="L112" s="42">
        <f t="shared" si="94"/>
        <v>0</v>
      </c>
      <c r="M112" s="52">
        <f t="shared" si="109"/>
        <v>0</v>
      </c>
      <c r="N112" s="52">
        <f t="shared" si="109"/>
        <v>0</v>
      </c>
      <c r="O112" s="52">
        <f>F112-I112</f>
        <v>0</v>
      </c>
      <c r="P112" s="54" t="e">
        <f t="shared" si="103"/>
        <v>#DIV/0!</v>
      </c>
      <c r="Q112" s="54" t="e">
        <f t="shared" si="104"/>
        <v>#DIV/0!</v>
      </c>
      <c r="R112" s="54" t="e">
        <f t="shared" si="105"/>
        <v>#DIV/0!</v>
      </c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25"/>
      <c r="BG112" s="3"/>
      <c r="BH112" s="3"/>
      <c r="BI112" s="3"/>
      <c r="BJ112" s="3"/>
    </row>
    <row r="113" spans="1:62" ht="15.75" customHeight="1" x14ac:dyDescent="0.25">
      <c r="A113" s="137"/>
      <c r="B113" s="138" t="s">
        <v>61</v>
      </c>
      <c r="C113" s="139">
        <f>SUM(C114:C116)</f>
        <v>10900</v>
      </c>
      <c r="D113" s="139">
        <f t="shared" ref="D113:I113" si="110">SUM(D114:D116)</f>
        <v>60804.639999999999</v>
      </c>
      <c r="E113" s="139"/>
      <c r="F113" s="139">
        <f t="shared" si="110"/>
        <v>0</v>
      </c>
      <c r="G113" s="139">
        <f t="shared" si="110"/>
        <v>10900</v>
      </c>
      <c r="H113" s="139">
        <f t="shared" si="110"/>
        <v>60511.01999999999</v>
      </c>
      <c r="I113" s="139">
        <f t="shared" si="110"/>
        <v>0</v>
      </c>
      <c r="J113" s="134">
        <f t="shared" si="92"/>
        <v>10900</v>
      </c>
      <c r="K113" s="134">
        <f t="shared" si="93"/>
        <v>60511.01999999999</v>
      </c>
      <c r="L113" s="134">
        <f t="shared" si="94"/>
        <v>0</v>
      </c>
      <c r="M113" s="139">
        <f>SUM(M114:M116)</f>
        <v>0</v>
      </c>
      <c r="N113" s="139">
        <f>SUM(N114:N116)</f>
        <v>293.6200000000099</v>
      </c>
      <c r="O113" s="139">
        <f>SUM(O114:O116)</f>
        <v>0</v>
      </c>
      <c r="P113" s="140">
        <f t="shared" si="103"/>
        <v>1</v>
      </c>
      <c r="Q113" s="140">
        <f t="shared" si="104"/>
        <v>0.99517109220612099</v>
      </c>
      <c r="R113" s="140" t="e">
        <f t="shared" si="105"/>
        <v>#DIV/0!</v>
      </c>
      <c r="S113" s="139">
        <f t="shared" ref="S113:BE113" si="111">SUM(S114:S116)</f>
        <v>0</v>
      </c>
      <c r="T113" s="139">
        <f t="shared" si="111"/>
        <v>0</v>
      </c>
      <c r="U113" s="139">
        <f t="shared" si="111"/>
        <v>0</v>
      </c>
      <c r="V113" s="139">
        <f t="shared" si="111"/>
        <v>0</v>
      </c>
      <c r="W113" s="139">
        <f t="shared" si="111"/>
        <v>24501.86</v>
      </c>
      <c r="X113" s="139">
        <f t="shared" si="111"/>
        <v>0</v>
      </c>
      <c r="Y113" s="139">
        <f t="shared" si="111"/>
        <v>0</v>
      </c>
      <c r="Z113" s="139">
        <f t="shared" si="111"/>
        <v>21833.119999999999</v>
      </c>
      <c r="AA113" s="139">
        <f t="shared" si="111"/>
        <v>0</v>
      </c>
      <c r="AB113" s="139">
        <f t="shared" si="111"/>
        <v>0</v>
      </c>
      <c r="AC113" s="139">
        <f t="shared" si="111"/>
        <v>0</v>
      </c>
      <c r="AD113" s="139">
        <f t="shared" si="111"/>
        <v>0</v>
      </c>
      <c r="AE113" s="139">
        <f t="shared" si="111"/>
        <v>0</v>
      </c>
      <c r="AF113" s="139">
        <f t="shared" si="111"/>
        <v>8320.4499999999989</v>
      </c>
      <c r="AG113" s="139">
        <f t="shared" si="111"/>
        <v>0</v>
      </c>
      <c r="AH113" s="139">
        <f t="shared" si="111"/>
        <v>0</v>
      </c>
      <c r="AI113" s="139">
        <f t="shared" si="111"/>
        <v>0</v>
      </c>
      <c r="AJ113" s="139">
        <f t="shared" si="111"/>
        <v>0</v>
      </c>
      <c r="AK113" s="139">
        <f t="shared" si="111"/>
        <v>0</v>
      </c>
      <c r="AL113" s="139">
        <f t="shared" si="111"/>
        <v>5855.59</v>
      </c>
      <c r="AM113" s="139">
        <f t="shared" si="111"/>
        <v>0</v>
      </c>
      <c r="AN113" s="139">
        <f t="shared" si="111"/>
        <v>9900</v>
      </c>
      <c r="AO113" s="139">
        <f t="shared" si="111"/>
        <v>0</v>
      </c>
      <c r="AP113" s="139">
        <f t="shared" si="111"/>
        <v>0</v>
      </c>
      <c r="AQ113" s="139">
        <f t="shared" si="111"/>
        <v>0</v>
      </c>
      <c r="AR113" s="139">
        <f t="shared" si="111"/>
        <v>0</v>
      </c>
      <c r="AS113" s="139">
        <f t="shared" si="111"/>
        <v>0</v>
      </c>
      <c r="AT113" s="139">
        <f t="shared" si="111"/>
        <v>0</v>
      </c>
      <c r="AU113" s="139">
        <f t="shared" si="111"/>
        <v>0</v>
      </c>
      <c r="AV113" s="139">
        <f t="shared" si="111"/>
        <v>0</v>
      </c>
      <c r="AW113" s="139">
        <f t="shared" si="111"/>
        <v>0</v>
      </c>
      <c r="AX113" s="139">
        <f t="shared" si="111"/>
        <v>0</v>
      </c>
      <c r="AY113" s="139">
        <f t="shared" si="111"/>
        <v>0</v>
      </c>
      <c r="AZ113" s="139">
        <f t="shared" si="111"/>
        <v>1000</v>
      </c>
      <c r="BA113" s="139">
        <f t="shared" si="111"/>
        <v>0</v>
      </c>
      <c r="BB113" s="139">
        <f t="shared" si="111"/>
        <v>0</v>
      </c>
      <c r="BC113" s="139">
        <f t="shared" si="111"/>
        <v>0</v>
      </c>
      <c r="BD113" s="139">
        <f t="shared" si="111"/>
        <v>0</v>
      </c>
      <c r="BE113" s="139">
        <f t="shared" si="111"/>
        <v>0</v>
      </c>
      <c r="BF113" s="31"/>
      <c r="BG113" s="10"/>
      <c r="BH113" s="10"/>
      <c r="BI113" s="10"/>
      <c r="BJ113" s="10"/>
    </row>
    <row r="114" spans="1:62" ht="15.75" customHeight="1" x14ac:dyDescent="0.25">
      <c r="A114" s="47" t="s">
        <v>154</v>
      </c>
      <c r="B114" s="82" t="s">
        <v>62</v>
      </c>
      <c r="C114" s="115"/>
      <c r="D114" s="122">
        <v>60804.639999999999</v>
      </c>
      <c r="E114" s="122"/>
      <c r="F114" s="119"/>
      <c r="G114" s="52">
        <f t="shared" ref="G114:I116" si="112">S114+V114+Y114+AB114+AE114+AH114+AK114+AN114+AQ114+AT114+AW114+AZ114</f>
        <v>0</v>
      </c>
      <c r="H114" s="52">
        <f t="shared" si="112"/>
        <v>60511.01999999999</v>
      </c>
      <c r="I114" s="52">
        <f t="shared" si="112"/>
        <v>0</v>
      </c>
      <c r="J114" s="42">
        <f t="shared" si="92"/>
        <v>0</v>
      </c>
      <c r="K114" s="42">
        <f t="shared" si="93"/>
        <v>60511.01999999999</v>
      </c>
      <c r="L114" s="42">
        <f t="shared" si="94"/>
        <v>0</v>
      </c>
      <c r="M114" s="52">
        <f t="shared" ref="M114:N116" si="113">C114-G114</f>
        <v>0</v>
      </c>
      <c r="N114" s="52">
        <f t="shared" si="113"/>
        <v>293.6200000000099</v>
      </c>
      <c r="O114" s="52">
        <f>F114-I114</f>
        <v>0</v>
      </c>
      <c r="P114" s="54" t="e">
        <f t="shared" si="103"/>
        <v>#DIV/0!</v>
      </c>
      <c r="Q114" s="54">
        <f t="shared" si="104"/>
        <v>0.99517109220612099</v>
      </c>
      <c r="R114" s="54" t="e">
        <f t="shared" si="105"/>
        <v>#DIV/0!</v>
      </c>
      <c r="S114" s="50"/>
      <c r="T114" s="50"/>
      <c r="U114" s="50"/>
      <c r="V114" s="50"/>
      <c r="W114" s="50">
        <f>24501.86</f>
        <v>24501.86</v>
      </c>
      <c r="X114" s="50"/>
      <c r="Y114" s="50"/>
      <c r="Z114" s="50">
        <f>21833.12</f>
        <v>21833.119999999999</v>
      </c>
      <c r="AA114" s="50"/>
      <c r="AB114" s="50"/>
      <c r="AC114" s="50"/>
      <c r="AD114" s="50"/>
      <c r="AE114" s="50"/>
      <c r="AF114" s="50">
        <f>706.56+150.48+142.25+473.29+62.09+663.05+913.98+195.36+846.89+892.24+2169.36+1104.9</f>
        <v>8320.4499999999989</v>
      </c>
      <c r="AG114" s="50"/>
      <c r="AH114" s="50"/>
      <c r="AI114" s="50"/>
      <c r="AJ114" s="50"/>
      <c r="AK114" s="50"/>
      <c r="AL114" s="50">
        <f>5855.59</f>
        <v>5855.59</v>
      </c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25"/>
      <c r="BG114" s="3"/>
      <c r="BH114" s="3"/>
      <c r="BI114" s="3"/>
      <c r="BJ114" s="3"/>
    </row>
    <row r="115" spans="1:62" s="23" customFormat="1" ht="15.75" customHeight="1" x14ac:dyDescent="0.25">
      <c r="A115" s="47" t="s">
        <v>144</v>
      </c>
      <c r="B115" s="82" t="s">
        <v>157</v>
      </c>
      <c r="C115" s="115">
        <v>9900</v>
      </c>
      <c r="D115" s="122"/>
      <c r="E115" s="122"/>
      <c r="F115" s="119"/>
      <c r="G115" s="52">
        <f t="shared" si="112"/>
        <v>9900</v>
      </c>
      <c r="H115" s="52">
        <f t="shared" si="112"/>
        <v>0</v>
      </c>
      <c r="I115" s="52">
        <f t="shared" si="112"/>
        <v>0</v>
      </c>
      <c r="J115" s="42">
        <f t="shared" si="92"/>
        <v>9900</v>
      </c>
      <c r="K115" s="42">
        <f t="shared" si="93"/>
        <v>0</v>
      </c>
      <c r="L115" s="42">
        <f t="shared" si="94"/>
        <v>0</v>
      </c>
      <c r="M115" s="52">
        <f t="shared" si="113"/>
        <v>0</v>
      </c>
      <c r="N115" s="52">
        <f t="shared" si="113"/>
        <v>0</v>
      </c>
      <c r="O115" s="52">
        <f>F115-I115</f>
        <v>0</v>
      </c>
      <c r="P115" s="54">
        <f t="shared" si="103"/>
        <v>1</v>
      </c>
      <c r="Q115" s="54" t="e">
        <f t="shared" si="104"/>
        <v>#DIV/0!</v>
      </c>
      <c r="R115" s="54" t="e">
        <f t="shared" si="105"/>
        <v>#DIV/0!</v>
      </c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>
        <v>9900</v>
      </c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25"/>
      <c r="BG115" s="3"/>
      <c r="BH115" s="3"/>
      <c r="BI115" s="3"/>
      <c r="BJ115" s="3"/>
    </row>
    <row r="116" spans="1:62" ht="15.75" customHeight="1" x14ac:dyDescent="0.25">
      <c r="A116" s="47" t="s">
        <v>155</v>
      </c>
      <c r="B116" s="82" t="s">
        <v>170</v>
      </c>
      <c r="C116" s="50">
        <v>1000</v>
      </c>
      <c r="D116" s="50"/>
      <c r="E116" s="50"/>
      <c r="F116" s="50"/>
      <c r="G116" s="52">
        <f t="shared" si="112"/>
        <v>1000</v>
      </c>
      <c r="H116" s="52">
        <f t="shared" si="112"/>
        <v>0</v>
      </c>
      <c r="I116" s="52">
        <f t="shared" si="112"/>
        <v>0</v>
      </c>
      <c r="J116" s="42">
        <f t="shared" si="92"/>
        <v>1000</v>
      </c>
      <c r="K116" s="42">
        <f t="shared" si="93"/>
        <v>0</v>
      </c>
      <c r="L116" s="42">
        <f t="shared" si="94"/>
        <v>0</v>
      </c>
      <c r="M116" s="52">
        <f t="shared" si="113"/>
        <v>0</v>
      </c>
      <c r="N116" s="52">
        <f t="shared" si="113"/>
        <v>0</v>
      </c>
      <c r="O116" s="52">
        <f>F116-I116</f>
        <v>0</v>
      </c>
      <c r="P116" s="54">
        <f t="shared" si="103"/>
        <v>1</v>
      </c>
      <c r="Q116" s="54" t="e">
        <f t="shared" si="104"/>
        <v>#DIV/0!</v>
      </c>
      <c r="R116" s="54" t="e">
        <f t="shared" si="105"/>
        <v>#DIV/0!</v>
      </c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>
        <v>1000</v>
      </c>
      <c r="BA116" s="50"/>
      <c r="BB116" s="50"/>
      <c r="BC116" s="50"/>
      <c r="BD116" s="50"/>
      <c r="BE116" s="50"/>
      <c r="BF116" s="25"/>
      <c r="BG116" s="3"/>
      <c r="BH116" s="3"/>
      <c r="BI116" s="3"/>
      <c r="BJ116" s="3"/>
    </row>
    <row r="117" spans="1:62" ht="15.75" customHeight="1" x14ac:dyDescent="0.25">
      <c r="A117" s="137"/>
      <c r="B117" s="138" t="s">
        <v>63</v>
      </c>
      <c r="C117" s="139">
        <f>SUM(C118:C118)</f>
        <v>0</v>
      </c>
      <c r="D117" s="139">
        <f>SUM(D118:D118)</f>
        <v>24308.400000000001</v>
      </c>
      <c r="E117" s="139"/>
      <c r="F117" s="139">
        <f>SUM(F118:F118)</f>
        <v>0</v>
      </c>
      <c r="G117" s="139">
        <f>SUM(G118:G118)</f>
        <v>0</v>
      </c>
      <c r="H117" s="139">
        <f>SUM(H118:H118)</f>
        <v>15608.400000000001</v>
      </c>
      <c r="I117" s="139">
        <f>SUM(I118:I118)</f>
        <v>0</v>
      </c>
      <c r="J117" s="134">
        <f t="shared" si="92"/>
        <v>0</v>
      </c>
      <c r="K117" s="134">
        <f t="shared" si="93"/>
        <v>15608.400000000001</v>
      </c>
      <c r="L117" s="134">
        <f t="shared" si="94"/>
        <v>0</v>
      </c>
      <c r="M117" s="139">
        <f>SUM(M118:M118)</f>
        <v>0</v>
      </c>
      <c r="N117" s="139">
        <f>SUM(N118:N118)</f>
        <v>8700</v>
      </c>
      <c r="O117" s="139">
        <f>SUM(O118:O118)</f>
        <v>0</v>
      </c>
      <c r="P117" s="140" t="e">
        <f t="shared" si="103"/>
        <v>#DIV/0!</v>
      </c>
      <c r="Q117" s="140">
        <f t="shared" si="104"/>
        <v>0.64209902749666781</v>
      </c>
      <c r="R117" s="140" t="e">
        <f t="shared" si="105"/>
        <v>#DIV/0!</v>
      </c>
      <c r="S117" s="139">
        <f>SUM(S118:S118)</f>
        <v>0</v>
      </c>
      <c r="T117" s="139">
        <f>SUM(T118:T118)</f>
        <v>0</v>
      </c>
      <c r="U117" s="139">
        <f>SUM(U118:U118)</f>
        <v>0</v>
      </c>
      <c r="V117" s="139">
        <f>SUM(V118:V118)</f>
        <v>0</v>
      </c>
      <c r="W117" s="139">
        <f>SUM(W118:W118)</f>
        <v>0</v>
      </c>
      <c r="X117" s="139">
        <f>SUM(X118:X118)</f>
        <v>0</v>
      </c>
      <c r="Y117" s="139">
        <f>SUM(Y118:Y118)</f>
        <v>0</v>
      </c>
      <c r="Z117" s="139">
        <f>SUM(Z118:Z118)</f>
        <v>13318.720000000001</v>
      </c>
      <c r="AA117" s="139">
        <f>SUM(AA118:AA118)</f>
        <v>0</v>
      </c>
      <c r="AB117" s="139">
        <f>SUM(AB118:AB118)</f>
        <v>0</v>
      </c>
      <c r="AC117" s="139">
        <f>SUM(AC118:AC118)</f>
        <v>2289.6799999999998</v>
      </c>
      <c r="AD117" s="139">
        <f>SUM(AD118:AD118)</f>
        <v>0</v>
      </c>
      <c r="AE117" s="139">
        <f>SUM(AE118:AE118)</f>
        <v>0</v>
      </c>
      <c r="AF117" s="139">
        <f>SUM(AF118:AF118)</f>
        <v>0</v>
      </c>
      <c r="AG117" s="139">
        <f>SUM(AG118:AG118)</f>
        <v>0</v>
      </c>
      <c r="AH117" s="139">
        <f>SUM(AH118:AH118)</f>
        <v>0</v>
      </c>
      <c r="AI117" s="139">
        <f>SUM(AI118:AI118)</f>
        <v>0</v>
      </c>
      <c r="AJ117" s="139">
        <f>SUM(AJ118:AJ118)</f>
        <v>0</v>
      </c>
      <c r="AK117" s="139">
        <f>SUM(AK118:AK118)</f>
        <v>0</v>
      </c>
      <c r="AL117" s="139">
        <f>SUM(AL118:AL118)</f>
        <v>0</v>
      </c>
      <c r="AM117" s="139">
        <f>SUM(AM118:AM118)</f>
        <v>0</v>
      </c>
      <c r="AN117" s="139">
        <f>SUM(AN118:AN118)</f>
        <v>0</v>
      </c>
      <c r="AO117" s="139">
        <f>SUM(AO118:AO118)</f>
        <v>0</v>
      </c>
      <c r="AP117" s="139">
        <f>SUM(AP118:AP118)</f>
        <v>0</v>
      </c>
      <c r="AQ117" s="139">
        <f>SUM(AQ118:AQ118)</f>
        <v>0</v>
      </c>
      <c r="AR117" s="139">
        <f>SUM(AR118:AR118)</f>
        <v>0</v>
      </c>
      <c r="AS117" s="139">
        <f>SUM(AS118:AS118)</f>
        <v>0</v>
      </c>
      <c r="AT117" s="139">
        <f>SUM(AT118:AT118)</f>
        <v>0</v>
      </c>
      <c r="AU117" s="139">
        <f>SUM(AU118:AU118)</f>
        <v>0</v>
      </c>
      <c r="AV117" s="139">
        <f>SUM(AV118:AV118)</f>
        <v>0</v>
      </c>
      <c r="AW117" s="139">
        <f>SUM(AW118:AW118)</f>
        <v>0</v>
      </c>
      <c r="AX117" s="139">
        <f>SUM(AX118:AX118)</f>
        <v>0</v>
      </c>
      <c r="AY117" s="139">
        <f>SUM(AY118:AY118)</f>
        <v>0</v>
      </c>
      <c r="AZ117" s="139">
        <f>SUM(AZ118:AZ118)</f>
        <v>0</v>
      </c>
      <c r="BA117" s="139">
        <f>SUM(BA118:BA118)</f>
        <v>0</v>
      </c>
      <c r="BB117" s="139">
        <f>SUM(BB118:BB118)</f>
        <v>0</v>
      </c>
      <c r="BC117" s="139">
        <f>SUM(BC118:BC118)</f>
        <v>0</v>
      </c>
      <c r="BD117" s="139">
        <f>SUM(BD118:BD118)</f>
        <v>0</v>
      </c>
      <c r="BE117" s="139">
        <f>SUM(BE118:BE118)</f>
        <v>0</v>
      </c>
      <c r="BF117" s="31"/>
      <c r="BG117" s="10"/>
      <c r="BH117" s="10"/>
      <c r="BI117" s="10"/>
      <c r="BJ117" s="10"/>
    </row>
    <row r="118" spans="1:62" ht="31.5" x14ac:dyDescent="0.25">
      <c r="A118" s="47"/>
      <c r="B118" s="82" t="s">
        <v>64</v>
      </c>
      <c r="C118" s="50"/>
      <c r="D118" s="62">
        <f>6550+2289.68+6768.72+8700</f>
        <v>24308.400000000001</v>
      </c>
      <c r="E118" s="62"/>
      <c r="F118" s="51"/>
      <c r="G118" s="52">
        <f t="shared" ref="G118:I118" si="114">S118+V118+Y118+AB118+AE118+AH118+AK118+AN118+AQ118+AT118+AW118+AZ118</f>
        <v>0</v>
      </c>
      <c r="H118" s="52">
        <f t="shared" si="114"/>
        <v>15608.400000000001</v>
      </c>
      <c r="I118" s="52">
        <f t="shared" si="114"/>
        <v>0</v>
      </c>
      <c r="J118" s="42">
        <f t="shared" si="92"/>
        <v>0</v>
      </c>
      <c r="K118" s="42">
        <f t="shared" si="93"/>
        <v>15608.400000000001</v>
      </c>
      <c r="L118" s="42">
        <f t="shared" si="94"/>
        <v>0</v>
      </c>
      <c r="M118" s="52">
        <f t="shared" ref="M118:N118" si="115">C118-G118</f>
        <v>0</v>
      </c>
      <c r="N118" s="52">
        <f t="shared" si="115"/>
        <v>8700</v>
      </c>
      <c r="O118" s="52">
        <f>F118-I118</f>
        <v>0</v>
      </c>
      <c r="P118" s="54" t="e">
        <f t="shared" si="103"/>
        <v>#DIV/0!</v>
      </c>
      <c r="Q118" s="54">
        <f t="shared" si="104"/>
        <v>0.64209902749666781</v>
      </c>
      <c r="R118" s="54" t="e">
        <f t="shared" si="105"/>
        <v>#DIV/0!</v>
      </c>
      <c r="S118" s="141"/>
      <c r="T118" s="50"/>
      <c r="U118" s="50"/>
      <c r="V118" s="50"/>
      <c r="W118" s="50"/>
      <c r="X118" s="50"/>
      <c r="Y118" s="50"/>
      <c r="Z118" s="50">
        <f>6550+6768.72</f>
        <v>13318.720000000001</v>
      </c>
      <c r="AA118" s="50"/>
      <c r="AB118" s="50"/>
      <c r="AC118" s="50">
        <v>2289.6799999999998</v>
      </c>
      <c r="AD118" s="50"/>
      <c r="AE118" s="50"/>
      <c r="AF118" s="50"/>
      <c r="AG118" s="50"/>
      <c r="AH118" s="50"/>
      <c r="AI118" s="50"/>
      <c r="AJ118" s="50"/>
      <c r="AK118" s="50"/>
      <c r="AL118" s="50"/>
      <c r="AM118" s="119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25"/>
      <c r="BG118" s="3"/>
      <c r="BH118" s="3"/>
      <c r="BI118" s="3"/>
      <c r="BJ118" s="3"/>
    </row>
    <row r="119" spans="1:62" ht="21" x14ac:dyDescent="0.25">
      <c r="A119" s="44" t="s">
        <v>65</v>
      </c>
      <c r="B119" s="44"/>
      <c r="C119" s="45">
        <f>C120+C125+C134</f>
        <v>37009.440000000002</v>
      </c>
      <c r="D119" s="45">
        <f>D120+D125+D134</f>
        <v>10631.66</v>
      </c>
      <c r="E119" s="45">
        <f>E120+E125+E134</f>
        <v>1118.73</v>
      </c>
      <c r="F119" s="45">
        <f>F120+F125+F134</f>
        <v>13485.5</v>
      </c>
      <c r="G119" s="45">
        <f>G120+G125+G134</f>
        <v>16009.439999999999</v>
      </c>
      <c r="H119" s="45">
        <f>H120+H125+H134</f>
        <v>9154.89</v>
      </c>
      <c r="I119" s="45">
        <f>I120+I125+I134</f>
        <v>12735.5</v>
      </c>
      <c r="J119" s="45">
        <f t="shared" si="92"/>
        <v>16009.439999999999</v>
      </c>
      <c r="K119" s="45">
        <f t="shared" si="93"/>
        <v>9154.89</v>
      </c>
      <c r="L119" s="45">
        <f t="shared" si="94"/>
        <v>12735.5</v>
      </c>
      <c r="M119" s="45">
        <f>M120+M125+M134</f>
        <v>0</v>
      </c>
      <c r="N119" s="45">
        <f>N120+N125+N134</f>
        <v>358.04000000000087</v>
      </c>
      <c r="O119" s="45">
        <f>O120+O125+O134</f>
        <v>750</v>
      </c>
      <c r="P119" s="46">
        <f t="shared" si="103"/>
        <v>0.43257720192469806</v>
      </c>
      <c r="Q119" s="46">
        <f t="shared" si="104"/>
        <v>0.86109695005295495</v>
      </c>
      <c r="R119" s="46">
        <f t="shared" si="105"/>
        <v>0.94438470950279929</v>
      </c>
      <c r="S119" s="45">
        <f>S120+S125+S134</f>
        <v>0</v>
      </c>
      <c r="T119" s="45">
        <f>T120+T125+T134</f>
        <v>0</v>
      </c>
      <c r="U119" s="45">
        <f>U120+U125+U134</f>
        <v>0</v>
      </c>
      <c r="V119" s="45">
        <f>V120+V125+V134</f>
        <v>1621.62</v>
      </c>
      <c r="W119" s="45">
        <f>W120+W125+W134</f>
        <v>6316</v>
      </c>
      <c r="X119" s="45">
        <f>X120+X125+X134</f>
        <v>0</v>
      </c>
      <c r="Y119" s="45">
        <f>Y120+Y125+Y134</f>
        <v>0</v>
      </c>
      <c r="Z119" s="45">
        <f>Z120+Z125+Z134</f>
        <v>0</v>
      </c>
      <c r="AA119" s="45">
        <f>AA120+AA125+AA134</f>
        <v>0</v>
      </c>
      <c r="AB119" s="45">
        <f>AB120+AB125+AB134</f>
        <v>810.81</v>
      </c>
      <c r="AC119" s="45">
        <f>AC120+AC125+AC134</f>
        <v>0</v>
      </c>
      <c r="AD119" s="45">
        <f>AD120+AD125+AD134</f>
        <v>0</v>
      </c>
      <c r="AE119" s="45">
        <f>AE120+AE125+AE134</f>
        <v>6955.3899999999994</v>
      </c>
      <c r="AF119" s="45">
        <f>AF120+AF125+AF134</f>
        <v>0</v>
      </c>
      <c r="AG119" s="45">
        <f>AG120+AG125+AG134</f>
        <v>0</v>
      </c>
      <c r="AH119" s="45">
        <f>AH120+AH125+AH134</f>
        <v>1621.62</v>
      </c>
      <c r="AI119" s="45">
        <f>AI120+AI125+AI134</f>
        <v>0</v>
      </c>
      <c r="AJ119" s="45">
        <f>AJ120+AJ125+AJ134</f>
        <v>0</v>
      </c>
      <c r="AK119" s="45">
        <f>AK120+AK125+AK134</f>
        <v>0</v>
      </c>
      <c r="AL119" s="45">
        <f>AL120+AL125+AL134</f>
        <v>0</v>
      </c>
      <c r="AM119" s="45">
        <f>AM120+AM125+AM134</f>
        <v>0</v>
      </c>
      <c r="AN119" s="45">
        <f>AN120+AN125+AN134</f>
        <v>0</v>
      </c>
      <c r="AO119" s="45">
        <f>AO120+AO125+AO134</f>
        <v>0</v>
      </c>
      <c r="AP119" s="45">
        <f>AP120+AP125+AP134</f>
        <v>0</v>
      </c>
      <c r="AQ119" s="45">
        <f>AQ120+AQ125+AQ134</f>
        <v>0</v>
      </c>
      <c r="AR119" s="45">
        <f>AR120+AR125+AR134</f>
        <v>0</v>
      </c>
      <c r="AS119" s="45">
        <f>AS120+AS125+AS134</f>
        <v>0</v>
      </c>
      <c r="AT119" s="45">
        <f>AT120+AT125+AT134</f>
        <v>0</v>
      </c>
      <c r="AU119" s="45">
        <f>AU120+AU125+AU134</f>
        <v>929.89</v>
      </c>
      <c r="AV119" s="45">
        <f>AV120+AV125+AV134</f>
        <v>1870</v>
      </c>
      <c r="AW119" s="45">
        <f>AW120+AW125+AW134</f>
        <v>0</v>
      </c>
      <c r="AX119" s="45">
        <f>AX120+AX125+AX134</f>
        <v>0</v>
      </c>
      <c r="AY119" s="45">
        <f>AY120+AY125+AY134</f>
        <v>0</v>
      </c>
      <c r="AZ119" s="45">
        <f>AZ120+AZ125+AZ134</f>
        <v>5000</v>
      </c>
      <c r="BA119" s="45">
        <f>BA120+BA125+BA134</f>
        <v>1909</v>
      </c>
      <c r="BB119" s="45">
        <f>BB120+BB125+BB134</f>
        <v>10865.5</v>
      </c>
      <c r="BC119" s="45">
        <f>BC120+BC125+BC134</f>
        <v>0</v>
      </c>
      <c r="BD119" s="45">
        <f>BD120+BD125+BD134</f>
        <v>0</v>
      </c>
      <c r="BE119" s="45">
        <f>BE120+BE125+BE134</f>
        <v>0</v>
      </c>
      <c r="BF119" s="27"/>
      <c r="BG119" s="5"/>
      <c r="BH119" s="5"/>
      <c r="BI119" s="5"/>
      <c r="BJ119" s="5"/>
    </row>
    <row r="120" spans="1:62" ht="15.75" customHeight="1" x14ac:dyDescent="0.25">
      <c r="A120" s="102"/>
      <c r="B120" s="142" t="s">
        <v>66</v>
      </c>
      <c r="C120" s="143">
        <f>C121+C123</f>
        <v>5000</v>
      </c>
      <c r="D120" s="143">
        <f>D121+D123</f>
        <v>0</v>
      </c>
      <c r="E120" s="143">
        <f>E121+E123</f>
        <v>0</v>
      </c>
      <c r="F120" s="143">
        <f>F121+F123</f>
        <v>0</v>
      </c>
      <c r="G120" s="143">
        <f>G121+G123</f>
        <v>5000</v>
      </c>
      <c r="H120" s="143">
        <f>H121+H123</f>
        <v>0</v>
      </c>
      <c r="I120" s="143">
        <f>I121+I123</f>
        <v>0</v>
      </c>
      <c r="J120" s="158">
        <f t="shared" si="92"/>
        <v>5000</v>
      </c>
      <c r="K120" s="158">
        <f t="shared" si="93"/>
        <v>0</v>
      </c>
      <c r="L120" s="158">
        <f t="shared" si="94"/>
        <v>0</v>
      </c>
      <c r="M120" s="143">
        <f>M121+M123</f>
        <v>0</v>
      </c>
      <c r="N120" s="143">
        <f>N121+N123</f>
        <v>0</v>
      </c>
      <c r="O120" s="143">
        <f>O121+O123</f>
        <v>0</v>
      </c>
      <c r="P120" s="144">
        <f t="shared" si="103"/>
        <v>1</v>
      </c>
      <c r="Q120" s="144" t="e">
        <f t="shared" si="104"/>
        <v>#DIV/0!</v>
      </c>
      <c r="R120" s="144" t="e">
        <f t="shared" si="105"/>
        <v>#DIV/0!</v>
      </c>
      <c r="S120" s="143">
        <f>S121+S123</f>
        <v>0</v>
      </c>
      <c r="T120" s="143">
        <f>T121+T123</f>
        <v>0</v>
      </c>
      <c r="U120" s="143">
        <f>U121+U123</f>
        <v>0</v>
      </c>
      <c r="V120" s="143">
        <f>V121+V123</f>
        <v>0</v>
      </c>
      <c r="W120" s="143">
        <f>W121+W123</f>
        <v>0</v>
      </c>
      <c r="X120" s="143">
        <f>X121+X123</f>
        <v>0</v>
      </c>
      <c r="Y120" s="143">
        <f>Y121+Y123</f>
        <v>0</v>
      </c>
      <c r="Z120" s="143">
        <f>Z121+Z123</f>
        <v>0</v>
      </c>
      <c r="AA120" s="143">
        <f>AA121+AA123</f>
        <v>0</v>
      </c>
      <c r="AB120" s="143">
        <f>AB121+AB123</f>
        <v>0</v>
      </c>
      <c r="AC120" s="143">
        <f>AC121+AC123</f>
        <v>0</v>
      </c>
      <c r="AD120" s="143">
        <f>AD121+AD123</f>
        <v>0</v>
      </c>
      <c r="AE120" s="143">
        <f>AE121+AE123</f>
        <v>0</v>
      </c>
      <c r="AF120" s="143">
        <f>AF121+AF123</f>
        <v>0</v>
      </c>
      <c r="AG120" s="143">
        <f>AG121+AG123</f>
        <v>0</v>
      </c>
      <c r="AH120" s="143">
        <f>AH121+AH123</f>
        <v>0</v>
      </c>
      <c r="AI120" s="143">
        <f>AI121+AI123</f>
        <v>0</v>
      </c>
      <c r="AJ120" s="143">
        <f>AJ121+AJ123</f>
        <v>0</v>
      </c>
      <c r="AK120" s="143">
        <f>AK121+AK123</f>
        <v>0</v>
      </c>
      <c r="AL120" s="143">
        <f>AL121+AL123</f>
        <v>0</v>
      </c>
      <c r="AM120" s="143">
        <f>AM121+AM123</f>
        <v>0</v>
      </c>
      <c r="AN120" s="143">
        <f>AN121+AN123</f>
        <v>0</v>
      </c>
      <c r="AO120" s="143">
        <f>AO121+AO123</f>
        <v>0</v>
      </c>
      <c r="AP120" s="143">
        <f>AP121+AP123</f>
        <v>0</v>
      </c>
      <c r="AQ120" s="143">
        <f>AQ121+AQ123</f>
        <v>0</v>
      </c>
      <c r="AR120" s="143">
        <f>AR121+AR123</f>
        <v>0</v>
      </c>
      <c r="AS120" s="143">
        <f>AS121+AS123</f>
        <v>0</v>
      </c>
      <c r="AT120" s="143">
        <f>AT121+AT123</f>
        <v>0</v>
      </c>
      <c r="AU120" s="143">
        <f>AU121+AU123</f>
        <v>0</v>
      </c>
      <c r="AV120" s="143">
        <f>AV121+AV123</f>
        <v>0</v>
      </c>
      <c r="AW120" s="143">
        <f>AW121+AW123</f>
        <v>0</v>
      </c>
      <c r="AX120" s="143">
        <f>AX121+AX123</f>
        <v>0</v>
      </c>
      <c r="AY120" s="143">
        <f>AY121+AY123</f>
        <v>0</v>
      </c>
      <c r="AZ120" s="143">
        <f>AZ121+AZ123</f>
        <v>5000</v>
      </c>
      <c r="BA120" s="143">
        <f>BA121+BA123</f>
        <v>0</v>
      </c>
      <c r="BB120" s="143">
        <f>BB121+BB123</f>
        <v>0</v>
      </c>
      <c r="BC120" s="143">
        <f>BC121+BC123</f>
        <v>0</v>
      </c>
      <c r="BD120" s="143">
        <f>BD121+BD123</f>
        <v>0</v>
      </c>
      <c r="BE120" s="143">
        <f>BE121+BE123</f>
        <v>0</v>
      </c>
      <c r="BF120" s="28"/>
      <c r="BG120" s="6"/>
      <c r="BH120" s="6"/>
      <c r="BI120" s="6"/>
      <c r="BJ120" s="6"/>
    </row>
    <row r="121" spans="1:62" ht="15.75" x14ac:dyDescent="0.25">
      <c r="A121" s="128"/>
      <c r="B121" s="129" t="s">
        <v>159</v>
      </c>
      <c r="C121" s="130">
        <f>SUM(C122:C122)</f>
        <v>5000</v>
      </c>
      <c r="D121" s="130">
        <f>SUM(D122:D122)</f>
        <v>0</v>
      </c>
      <c r="E121" s="130"/>
      <c r="F121" s="130">
        <f>SUM(F122:F122)</f>
        <v>0</v>
      </c>
      <c r="G121" s="130">
        <f>SUM(G122:G122)</f>
        <v>5000</v>
      </c>
      <c r="H121" s="130">
        <f>SUM(H122:H122)</f>
        <v>0</v>
      </c>
      <c r="I121" s="130">
        <f>SUM(I122:I122)</f>
        <v>0</v>
      </c>
      <c r="J121" s="160">
        <f t="shared" si="92"/>
        <v>5000</v>
      </c>
      <c r="K121" s="160">
        <f t="shared" si="93"/>
        <v>0</v>
      </c>
      <c r="L121" s="160">
        <f t="shared" si="94"/>
        <v>0</v>
      </c>
      <c r="M121" s="130">
        <f>SUM(M122:M122)</f>
        <v>0</v>
      </c>
      <c r="N121" s="130">
        <f>SUM(N122:N122)</f>
        <v>0</v>
      </c>
      <c r="O121" s="130">
        <f>SUM(O122:O122)</f>
        <v>0</v>
      </c>
      <c r="P121" s="145">
        <f t="shared" si="103"/>
        <v>1</v>
      </c>
      <c r="Q121" s="145" t="e">
        <f t="shared" si="104"/>
        <v>#DIV/0!</v>
      </c>
      <c r="R121" s="145" t="e">
        <f t="shared" si="105"/>
        <v>#DIV/0!</v>
      </c>
      <c r="S121" s="130">
        <f>SUM(S122:S122)</f>
        <v>0</v>
      </c>
      <c r="T121" s="130">
        <f>SUM(T122:T122)</f>
        <v>0</v>
      </c>
      <c r="U121" s="130">
        <f>SUM(U122:U122)</f>
        <v>0</v>
      </c>
      <c r="V121" s="130">
        <f>SUM(V122:V122)</f>
        <v>0</v>
      </c>
      <c r="W121" s="130">
        <f>SUM(W122:W122)</f>
        <v>0</v>
      </c>
      <c r="X121" s="130">
        <f>SUM(X122:X122)</f>
        <v>0</v>
      </c>
      <c r="Y121" s="130">
        <f>SUM(Y122:Y122)</f>
        <v>0</v>
      </c>
      <c r="Z121" s="130">
        <f>SUM(Z122:Z122)</f>
        <v>0</v>
      </c>
      <c r="AA121" s="130">
        <f>SUM(AA122:AA122)</f>
        <v>0</v>
      </c>
      <c r="AB121" s="130">
        <f>SUM(AB122:AB122)</f>
        <v>0</v>
      </c>
      <c r="AC121" s="130">
        <f>SUM(AC122:AC122)</f>
        <v>0</v>
      </c>
      <c r="AD121" s="130">
        <f>SUM(AD122:AD122)</f>
        <v>0</v>
      </c>
      <c r="AE121" s="130">
        <f>SUM(AE122:AE122)</f>
        <v>0</v>
      </c>
      <c r="AF121" s="130">
        <f>SUM(AF122:AF122)</f>
        <v>0</v>
      </c>
      <c r="AG121" s="130">
        <f>SUM(AG122:AG122)</f>
        <v>0</v>
      </c>
      <c r="AH121" s="130">
        <f>SUM(AH122:AH122)</f>
        <v>0</v>
      </c>
      <c r="AI121" s="130">
        <f>SUM(AI122:AI122)</f>
        <v>0</v>
      </c>
      <c r="AJ121" s="130">
        <f>SUM(AJ122:AJ122)</f>
        <v>0</v>
      </c>
      <c r="AK121" s="130">
        <f>SUM(AK122:AK122)</f>
        <v>0</v>
      </c>
      <c r="AL121" s="130">
        <f>SUM(AL122:AL122)</f>
        <v>0</v>
      </c>
      <c r="AM121" s="130">
        <f>SUM(AM122:AM122)</f>
        <v>0</v>
      </c>
      <c r="AN121" s="130">
        <f>SUM(AN122:AN122)</f>
        <v>0</v>
      </c>
      <c r="AO121" s="130">
        <f>SUM(AO122:AO122)</f>
        <v>0</v>
      </c>
      <c r="AP121" s="130">
        <f>SUM(AP122:AP122)</f>
        <v>0</v>
      </c>
      <c r="AQ121" s="130">
        <f>SUM(AQ122:AQ122)</f>
        <v>0</v>
      </c>
      <c r="AR121" s="130">
        <f>SUM(AR122:AR122)</f>
        <v>0</v>
      </c>
      <c r="AS121" s="130">
        <f>SUM(AS122:AS122)</f>
        <v>0</v>
      </c>
      <c r="AT121" s="130">
        <f>SUM(AT122:AT122)</f>
        <v>0</v>
      </c>
      <c r="AU121" s="130">
        <f>SUM(AU122:AU122)</f>
        <v>0</v>
      </c>
      <c r="AV121" s="130">
        <f>SUM(AV122:AV122)</f>
        <v>0</v>
      </c>
      <c r="AW121" s="130">
        <f>SUM(AW122:AW122)</f>
        <v>0</v>
      </c>
      <c r="AX121" s="130">
        <f>SUM(AX122:AX122)</f>
        <v>0</v>
      </c>
      <c r="AY121" s="130">
        <f>SUM(AY122:AY122)</f>
        <v>0</v>
      </c>
      <c r="AZ121" s="130">
        <f>SUM(AZ122:AZ122)</f>
        <v>5000</v>
      </c>
      <c r="BA121" s="130">
        <f>SUM(BA122:BA122)</f>
        <v>0</v>
      </c>
      <c r="BB121" s="130">
        <f>SUM(BB122:BB122)</f>
        <v>0</v>
      </c>
      <c r="BC121" s="130">
        <f>SUM(BC122:BC122)</f>
        <v>0</v>
      </c>
      <c r="BD121" s="130">
        <f>SUM(BD122:BD122)</f>
        <v>0</v>
      </c>
      <c r="BE121" s="130">
        <f>SUM(BE122:BE122)</f>
        <v>0</v>
      </c>
      <c r="BF121" s="31"/>
      <c r="BG121" s="10"/>
      <c r="BH121" s="10"/>
      <c r="BI121" s="10"/>
      <c r="BJ121" s="10"/>
    </row>
    <row r="122" spans="1:62" ht="16.5" customHeight="1" x14ac:dyDescent="0.25">
      <c r="A122" s="47" t="s">
        <v>148</v>
      </c>
      <c r="B122" s="82" t="s">
        <v>168</v>
      </c>
      <c r="C122" s="115">
        <v>5000</v>
      </c>
      <c r="D122" s="50"/>
      <c r="E122" s="50"/>
      <c r="F122" s="50"/>
      <c r="G122" s="52">
        <f t="shared" ref="G122:I122" si="116">S122+V122+Y122+AB122+AE122+AH122+AK122+AN122+AQ122+AT122+AW122+AZ122</f>
        <v>5000</v>
      </c>
      <c r="H122" s="52">
        <f t="shared" si="116"/>
        <v>0</v>
      </c>
      <c r="I122" s="52">
        <f t="shared" si="116"/>
        <v>0</v>
      </c>
      <c r="J122" s="42">
        <f t="shared" si="92"/>
        <v>5000</v>
      </c>
      <c r="K122" s="42">
        <f t="shared" si="93"/>
        <v>0</v>
      </c>
      <c r="L122" s="42">
        <f t="shared" si="94"/>
        <v>0</v>
      </c>
      <c r="M122" s="52">
        <f t="shared" ref="M122:N122" si="117">C122-G122</f>
        <v>0</v>
      </c>
      <c r="N122" s="52">
        <f t="shared" si="117"/>
        <v>0</v>
      </c>
      <c r="O122" s="52">
        <f>F122-I122</f>
        <v>0</v>
      </c>
      <c r="P122" s="54">
        <f t="shared" si="103"/>
        <v>1</v>
      </c>
      <c r="Q122" s="54" t="e">
        <f t="shared" si="104"/>
        <v>#DIV/0!</v>
      </c>
      <c r="R122" s="54" t="e">
        <f t="shared" si="105"/>
        <v>#DIV/0!</v>
      </c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132">
        <v>5000</v>
      </c>
      <c r="BA122" s="50"/>
      <c r="BB122" s="50"/>
      <c r="BC122" s="50"/>
      <c r="BD122" s="50"/>
      <c r="BE122" s="50"/>
      <c r="BF122" s="25"/>
      <c r="BG122" s="3"/>
      <c r="BH122" s="3"/>
      <c r="BI122" s="3"/>
      <c r="BJ122" s="3"/>
    </row>
    <row r="123" spans="1:62" ht="15.75" x14ac:dyDescent="0.25">
      <c r="A123" s="128"/>
      <c r="B123" s="129" t="s">
        <v>67</v>
      </c>
      <c r="C123" s="130">
        <f>SUM(C124:C124)</f>
        <v>0</v>
      </c>
      <c r="D123" s="130">
        <f>SUM(D124:D124)</f>
        <v>0</v>
      </c>
      <c r="E123" s="130">
        <f>SUM(E124:E124)</f>
        <v>0</v>
      </c>
      <c r="F123" s="130">
        <f>SUM(F124:F124)</f>
        <v>0</v>
      </c>
      <c r="G123" s="130">
        <f>SUM(G124:G124)</f>
        <v>0</v>
      </c>
      <c r="H123" s="130">
        <f>SUM(H124:H124)</f>
        <v>0</v>
      </c>
      <c r="I123" s="130">
        <f>SUM(I124:I124)</f>
        <v>0</v>
      </c>
      <c r="J123" s="131">
        <f t="shared" si="92"/>
        <v>0</v>
      </c>
      <c r="K123" s="131">
        <f t="shared" si="93"/>
        <v>0</v>
      </c>
      <c r="L123" s="131">
        <f t="shared" si="94"/>
        <v>0</v>
      </c>
      <c r="M123" s="130">
        <f>SUM(M124:M124)</f>
        <v>0</v>
      </c>
      <c r="N123" s="130">
        <f>SUM(N124:N124)</f>
        <v>0</v>
      </c>
      <c r="O123" s="130">
        <f>SUM(O124:O124)</f>
        <v>0</v>
      </c>
      <c r="P123" s="145" t="e">
        <f t="shared" si="103"/>
        <v>#DIV/0!</v>
      </c>
      <c r="Q123" s="145" t="e">
        <f t="shared" si="104"/>
        <v>#DIV/0!</v>
      </c>
      <c r="R123" s="145" t="e">
        <f t="shared" si="105"/>
        <v>#DIV/0!</v>
      </c>
      <c r="S123" s="130">
        <f>SUM(S124:S124)</f>
        <v>0</v>
      </c>
      <c r="T123" s="130">
        <f>SUM(T124:T124)</f>
        <v>0</v>
      </c>
      <c r="U123" s="130">
        <f>SUM(U124:U124)</f>
        <v>0</v>
      </c>
      <c r="V123" s="130">
        <f>SUM(V124:V124)</f>
        <v>0</v>
      </c>
      <c r="W123" s="130">
        <f>SUM(W124:W124)</f>
        <v>0</v>
      </c>
      <c r="X123" s="130">
        <f>SUM(X124:X124)</f>
        <v>0</v>
      </c>
      <c r="Y123" s="130">
        <f>SUM(Y124:Y124)</f>
        <v>0</v>
      </c>
      <c r="Z123" s="130">
        <f>SUM(Z124:Z124)</f>
        <v>0</v>
      </c>
      <c r="AA123" s="130">
        <f>SUM(AA124:AA124)</f>
        <v>0</v>
      </c>
      <c r="AB123" s="130">
        <f>SUM(AB124:AB124)</f>
        <v>0</v>
      </c>
      <c r="AC123" s="130">
        <f>SUM(AC124:AC124)</f>
        <v>0</v>
      </c>
      <c r="AD123" s="130">
        <f>SUM(AD124:AD124)</f>
        <v>0</v>
      </c>
      <c r="AE123" s="130">
        <f>SUM(AE124:AE124)</f>
        <v>0</v>
      </c>
      <c r="AF123" s="130">
        <f>SUM(AF124:AF124)</f>
        <v>0</v>
      </c>
      <c r="AG123" s="130">
        <f>SUM(AG124:AG124)</f>
        <v>0</v>
      </c>
      <c r="AH123" s="130">
        <f>SUM(AH124:AH124)</f>
        <v>0</v>
      </c>
      <c r="AI123" s="130">
        <f>SUM(AI124:AI124)</f>
        <v>0</v>
      </c>
      <c r="AJ123" s="130">
        <f>SUM(AJ124:AJ124)</f>
        <v>0</v>
      </c>
      <c r="AK123" s="130">
        <f>SUM(AK124:AK124)</f>
        <v>0</v>
      </c>
      <c r="AL123" s="130">
        <f>SUM(AL124:AL124)</f>
        <v>0</v>
      </c>
      <c r="AM123" s="130">
        <f>SUM(AM124:AM124)</f>
        <v>0</v>
      </c>
      <c r="AN123" s="130">
        <f>SUM(AN124:AN124)</f>
        <v>0</v>
      </c>
      <c r="AO123" s="130">
        <f>SUM(AO124:AO124)</f>
        <v>0</v>
      </c>
      <c r="AP123" s="130">
        <f>SUM(AP124:AP124)</f>
        <v>0</v>
      </c>
      <c r="AQ123" s="130">
        <f>SUM(AQ124:AQ124)</f>
        <v>0</v>
      </c>
      <c r="AR123" s="130">
        <f>SUM(AR124:AR124)</f>
        <v>0</v>
      </c>
      <c r="AS123" s="130">
        <f>SUM(AS124:AS124)</f>
        <v>0</v>
      </c>
      <c r="AT123" s="130">
        <f>SUM(AT124:AT124)</f>
        <v>0</v>
      </c>
      <c r="AU123" s="130">
        <f>SUM(AU124:AU124)</f>
        <v>0</v>
      </c>
      <c r="AV123" s="130">
        <f>SUM(AV124:AV124)</f>
        <v>0</v>
      </c>
      <c r="AW123" s="130">
        <f>SUM(AW124:AW124)</f>
        <v>0</v>
      </c>
      <c r="AX123" s="130">
        <f>SUM(AX124:AX124)</f>
        <v>0</v>
      </c>
      <c r="AY123" s="130">
        <f>SUM(AY124:AY124)</f>
        <v>0</v>
      </c>
      <c r="AZ123" s="130">
        <f>SUM(AZ124:AZ124)</f>
        <v>0</v>
      </c>
      <c r="BA123" s="130">
        <f>SUM(BA124:BA124)</f>
        <v>0</v>
      </c>
      <c r="BB123" s="130">
        <f>SUM(BB124:BB124)</f>
        <v>0</v>
      </c>
      <c r="BC123" s="130">
        <f>SUM(BC124:BC124)</f>
        <v>0</v>
      </c>
      <c r="BD123" s="130">
        <f>SUM(BD124:BD124)</f>
        <v>0</v>
      </c>
      <c r="BE123" s="130">
        <f>SUM(BE124:BE124)</f>
        <v>0</v>
      </c>
      <c r="BF123" s="31"/>
      <c r="BG123" s="10"/>
      <c r="BH123" s="10"/>
      <c r="BI123" s="10"/>
      <c r="BJ123" s="10"/>
    </row>
    <row r="124" spans="1:62" ht="15.75" customHeight="1" x14ac:dyDescent="0.25">
      <c r="A124" s="47" t="s">
        <v>148</v>
      </c>
      <c r="B124" s="82" t="s">
        <v>113</v>
      </c>
      <c r="C124" s="51"/>
      <c r="D124" s="50"/>
      <c r="E124" s="50"/>
      <c r="F124" s="51"/>
      <c r="G124" s="52">
        <f>S124+V124+Y124+AB124+AE124+AH124+AK124+AN124+AQ124+AT124+AW124+AZ124</f>
        <v>0</v>
      </c>
      <c r="H124" s="52">
        <f>T124+W124+Z124+AC124+AF124+AI124+AL124+AO124+AR124+AU124+AX124+BA124</f>
        <v>0</v>
      </c>
      <c r="I124" s="52">
        <f>U124+X124+AA124+AD124+AG124+AJ124+AM124+AP124+AS124+AV124+AY124+BB124</f>
        <v>0</v>
      </c>
      <c r="J124" s="42">
        <f t="shared" ref="J124:L124" si="118">IF(BC124=0,SUM(S124+V124+Y124+AB124+AE124+AH124+AK124+AN124+AQ124+AT124+AW124+AZ124),BC124)</f>
        <v>0</v>
      </c>
      <c r="K124" s="42">
        <f>IF(BD124=0,SUM(T124+W124+Z124+AC124+AF124+AI124+AL124+AO124+AR124+AU124+AX124+BA124),BD124)</f>
        <v>0</v>
      </c>
      <c r="L124" s="42">
        <f t="shared" si="118"/>
        <v>0</v>
      </c>
      <c r="M124" s="52">
        <f>C124-G124</f>
        <v>0</v>
      </c>
      <c r="N124" s="52">
        <f>D124-H124</f>
        <v>0</v>
      </c>
      <c r="O124" s="52">
        <f>F124-I124</f>
        <v>0</v>
      </c>
      <c r="P124" s="54" t="e">
        <f t="shared" ref="P124:P132" si="119">G124/C124</f>
        <v>#DIV/0!</v>
      </c>
      <c r="Q124" s="54" t="e">
        <f t="shared" si="104"/>
        <v>#DIV/0!</v>
      </c>
      <c r="R124" s="54" t="e">
        <f>I124/F124</f>
        <v>#DIV/0!</v>
      </c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25"/>
      <c r="BG124" s="3"/>
      <c r="BH124" s="3"/>
      <c r="BI124" s="3"/>
      <c r="BJ124" s="3"/>
    </row>
    <row r="125" spans="1:62" ht="15.75" customHeight="1" x14ac:dyDescent="0.25">
      <c r="A125" s="102"/>
      <c r="B125" s="142" t="s">
        <v>68</v>
      </c>
      <c r="C125" s="143">
        <f>C126+C131</f>
        <v>32009.440000000002</v>
      </c>
      <c r="D125" s="143">
        <f>D126+D131</f>
        <v>2048.62</v>
      </c>
      <c r="E125" s="143">
        <f>E126+E131</f>
        <v>1118.73</v>
      </c>
      <c r="F125" s="143">
        <f>F126+F131</f>
        <v>13485.5</v>
      </c>
      <c r="G125" s="143">
        <f>G126+G131</f>
        <v>11009.439999999999</v>
      </c>
      <c r="H125" s="143">
        <f>H126+H131</f>
        <v>929.89</v>
      </c>
      <c r="I125" s="143">
        <f>I126+I131</f>
        <v>12735.5</v>
      </c>
      <c r="J125" s="143">
        <f>IF(BC125=0,SUM(S125+V125+Y125+AB125+AE125+AH125+AK125+AN125+AQ125+AT125+AW125+AZ125),BC125)</f>
        <v>11009.439999999999</v>
      </c>
      <c r="K125" s="143">
        <f>IF(BD125=0,SUM(T125+W125+Z125+AC125+AF125+AI125+AL125+AO125+AR125+AU125+AX125+BA125),BD125)</f>
        <v>929.89</v>
      </c>
      <c r="L125" s="143">
        <f>IF(BE125=0,SUM(U125+X125+AA125+AD125+AG125+AJ125+AM125+AP125+AS125+AV125+AY125+BB125),BE125)</f>
        <v>12735.5</v>
      </c>
      <c r="M125" s="143">
        <f>M126+M131</f>
        <v>0</v>
      </c>
      <c r="N125" s="143">
        <f>N126+N131</f>
        <v>0</v>
      </c>
      <c r="O125" s="143">
        <f>O126+O131</f>
        <v>750</v>
      </c>
      <c r="P125" s="144">
        <f t="shared" si="119"/>
        <v>0.3439435366566862</v>
      </c>
      <c r="Q125" s="144">
        <f>H125/D125</f>
        <v>0.4539104372699671</v>
      </c>
      <c r="R125" s="144">
        <f>I125/F125</f>
        <v>0.94438470950279929</v>
      </c>
      <c r="S125" s="143">
        <f>S126+S131</f>
        <v>0</v>
      </c>
      <c r="T125" s="143">
        <f>T126+T131</f>
        <v>0</v>
      </c>
      <c r="U125" s="143">
        <f>U126+U131</f>
        <v>0</v>
      </c>
      <c r="V125" s="143">
        <f>V126+V131</f>
        <v>1621.62</v>
      </c>
      <c r="W125" s="143">
        <f>W126+W131</f>
        <v>0</v>
      </c>
      <c r="X125" s="143">
        <f>X126+X131</f>
        <v>0</v>
      </c>
      <c r="Y125" s="143">
        <f>Y126+Y131</f>
        <v>0</v>
      </c>
      <c r="Z125" s="143">
        <f>Z126+Z131</f>
        <v>0</v>
      </c>
      <c r="AA125" s="143">
        <f>AA126+AA131</f>
        <v>0</v>
      </c>
      <c r="AB125" s="143">
        <f>AB126+AB131</f>
        <v>810.81</v>
      </c>
      <c r="AC125" s="143">
        <f>AC126+AC131</f>
        <v>0</v>
      </c>
      <c r="AD125" s="143">
        <f>AD126+AD131</f>
        <v>0</v>
      </c>
      <c r="AE125" s="143">
        <f>AE126+AE131</f>
        <v>6955.3899999999994</v>
      </c>
      <c r="AF125" s="143">
        <f>AF126+AF131</f>
        <v>0</v>
      </c>
      <c r="AG125" s="143">
        <f>AG126+AG131</f>
        <v>0</v>
      </c>
      <c r="AH125" s="143">
        <f>AH126+AH131</f>
        <v>1621.62</v>
      </c>
      <c r="AI125" s="143">
        <f>AI126+AI131</f>
        <v>0</v>
      </c>
      <c r="AJ125" s="143">
        <f>AJ126+AJ131</f>
        <v>0</v>
      </c>
      <c r="AK125" s="143">
        <f>AK126+AK131</f>
        <v>0</v>
      </c>
      <c r="AL125" s="143">
        <f>AL126+AL131</f>
        <v>0</v>
      </c>
      <c r="AM125" s="143">
        <f>AM126+AM131</f>
        <v>0</v>
      </c>
      <c r="AN125" s="143">
        <f>AN126+AN131</f>
        <v>0</v>
      </c>
      <c r="AO125" s="143">
        <f>AO126+AO131</f>
        <v>0</v>
      </c>
      <c r="AP125" s="143">
        <f>AP126+AP131</f>
        <v>0</v>
      </c>
      <c r="AQ125" s="143">
        <f>AQ126+AQ131</f>
        <v>0</v>
      </c>
      <c r="AR125" s="143">
        <f>AR126+AR131</f>
        <v>0</v>
      </c>
      <c r="AS125" s="143">
        <f>AS126+AS131</f>
        <v>0</v>
      </c>
      <c r="AT125" s="143">
        <f>AT126+AT131</f>
        <v>0</v>
      </c>
      <c r="AU125" s="143">
        <f>AU126+AU131</f>
        <v>929.89</v>
      </c>
      <c r="AV125" s="143">
        <f>AV126+AV131</f>
        <v>1870</v>
      </c>
      <c r="AW125" s="143">
        <f>AW126+AW131</f>
        <v>0</v>
      </c>
      <c r="AX125" s="143">
        <f>AX126+AX131</f>
        <v>0</v>
      </c>
      <c r="AY125" s="143">
        <f>AY126+AY131</f>
        <v>0</v>
      </c>
      <c r="AZ125" s="143">
        <f>AZ126+AZ131</f>
        <v>0</v>
      </c>
      <c r="BA125" s="143">
        <f>BA126+BA131</f>
        <v>0</v>
      </c>
      <c r="BB125" s="143">
        <f>BB126+BB131</f>
        <v>10865.5</v>
      </c>
      <c r="BC125" s="143">
        <f>BC126+BC131</f>
        <v>0</v>
      </c>
      <c r="BD125" s="143">
        <f>BD126+BD131</f>
        <v>0</v>
      </c>
      <c r="BE125" s="143">
        <f>BE126+BE131</f>
        <v>0</v>
      </c>
      <c r="BF125" s="28"/>
      <c r="BG125" s="6"/>
      <c r="BH125" s="6"/>
      <c r="BI125" s="6"/>
      <c r="BJ125" s="6"/>
    </row>
    <row r="126" spans="1:62" ht="15.75" x14ac:dyDescent="0.25">
      <c r="A126" s="128"/>
      <c r="B126" s="129" t="s">
        <v>69</v>
      </c>
      <c r="C126" s="130">
        <f>SUM(C127:C130)</f>
        <v>32009.440000000002</v>
      </c>
      <c r="D126" s="130">
        <f>SUM(D127:D130)</f>
        <v>1118.73</v>
      </c>
      <c r="E126" s="130">
        <f>SUM(E127:E130)</f>
        <v>1118.73</v>
      </c>
      <c r="F126" s="130">
        <f>SUM(F127:F129)</f>
        <v>0</v>
      </c>
      <c r="G126" s="130">
        <f>SUM(G127:G129)</f>
        <v>11009.439999999999</v>
      </c>
      <c r="H126" s="130">
        <f>SUM(H127:H129)</f>
        <v>0</v>
      </c>
      <c r="I126" s="130">
        <f>SUM(I127:I129)</f>
        <v>0</v>
      </c>
      <c r="J126" s="131">
        <f>IF(BC126=0,SUM(S126+V126+Y126+AB126+AE126+AH126+AK126+AN126+AQ126+AT126+AW126+AZ126),BC126)</f>
        <v>11009.439999999999</v>
      </c>
      <c r="K126" s="131">
        <f>IF(BD126=0,SUM(T126+W126+Z126+AC126+AF126+AI126+AL126+AO126+AR126+AU126+AX126+BA126),BD126)</f>
        <v>0</v>
      </c>
      <c r="L126" s="131">
        <f>IF(BE126=0,SUM(U126+X126+AA126+AD126+AG126+AJ126+AM126+AP126+AS126+AV126+AY126+BB126),BE126)</f>
        <v>0</v>
      </c>
      <c r="M126" s="130">
        <f>SUM(M127:M130)</f>
        <v>0</v>
      </c>
      <c r="N126" s="130">
        <f>SUM(N127:N130)</f>
        <v>0</v>
      </c>
      <c r="O126" s="130">
        <f>SUM(O127:O129)</f>
        <v>0</v>
      </c>
      <c r="P126" s="145">
        <f t="shared" si="119"/>
        <v>0.3439435366566862</v>
      </c>
      <c r="Q126" s="145">
        <f>H126/D126</f>
        <v>0</v>
      </c>
      <c r="R126" s="145" t="e">
        <f>I126/F126</f>
        <v>#DIV/0!</v>
      </c>
      <c r="S126" s="130">
        <f>SUM(S127:S129)</f>
        <v>0</v>
      </c>
      <c r="T126" s="130">
        <f>SUM(T127:T129)</f>
        <v>0</v>
      </c>
      <c r="U126" s="130">
        <f>SUM(U127:U129)</f>
        <v>0</v>
      </c>
      <c r="V126" s="130">
        <f>SUM(V127:V129)</f>
        <v>1621.62</v>
      </c>
      <c r="W126" s="130">
        <f>SUM(W127:W129)</f>
        <v>0</v>
      </c>
      <c r="X126" s="130">
        <f>SUM(X127:X129)</f>
        <v>0</v>
      </c>
      <c r="Y126" s="130">
        <f>SUM(Y127:Y129)</f>
        <v>0</v>
      </c>
      <c r="Z126" s="130">
        <f>SUM(Z127:Z130)</f>
        <v>0</v>
      </c>
      <c r="AA126" s="130">
        <f>SUM(AA127:AA129)</f>
        <v>0</v>
      </c>
      <c r="AB126" s="130">
        <f>SUM(AB127:AB129)</f>
        <v>810.81</v>
      </c>
      <c r="AC126" s="130">
        <f>SUM(AC127:AC129)</f>
        <v>0</v>
      </c>
      <c r="AD126" s="130">
        <f>SUM(AD127:AD129)</f>
        <v>0</v>
      </c>
      <c r="AE126" s="130">
        <f>SUM(AE127:AE129)</f>
        <v>6955.3899999999994</v>
      </c>
      <c r="AF126" s="130">
        <f>SUM(AF127:AF129)</f>
        <v>0</v>
      </c>
      <c r="AG126" s="130">
        <f>SUM(AG127:AG129)</f>
        <v>0</v>
      </c>
      <c r="AH126" s="130">
        <f>SUM(AH127:AH129)</f>
        <v>1621.62</v>
      </c>
      <c r="AI126" s="130">
        <f>SUM(AI127:AI129)</f>
        <v>0</v>
      </c>
      <c r="AJ126" s="130">
        <f>SUM(AJ127:AJ129)</f>
        <v>0</v>
      </c>
      <c r="AK126" s="130">
        <f>SUM(AK127:AK129)</f>
        <v>0</v>
      </c>
      <c r="AL126" s="130">
        <f>SUM(AL127:AL129)</f>
        <v>0</v>
      </c>
      <c r="AM126" s="130">
        <f>SUM(AM127:AM129)</f>
        <v>0</v>
      </c>
      <c r="AN126" s="130">
        <f>SUM(AN127:AN129)</f>
        <v>0</v>
      </c>
      <c r="AO126" s="130">
        <f>SUM(AO127:AO129)</f>
        <v>0</v>
      </c>
      <c r="AP126" s="130">
        <f>SUM(AP127:AP129)</f>
        <v>0</v>
      </c>
      <c r="AQ126" s="130">
        <f>SUM(AQ127:AQ129)</f>
        <v>0</v>
      </c>
      <c r="AR126" s="130">
        <f>SUM(AR127:AR129)</f>
        <v>0</v>
      </c>
      <c r="AS126" s="130">
        <f>SUM(AS127:AS129)</f>
        <v>0</v>
      </c>
      <c r="AT126" s="130">
        <f>SUM(AT127:AT129)</f>
        <v>0</v>
      </c>
      <c r="AU126" s="130">
        <f>SUM(AU127:AU129)</f>
        <v>0</v>
      </c>
      <c r="AV126" s="130">
        <f>SUM(AV127:AV129)</f>
        <v>0</v>
      </c>
      <c r="AW126" s="130">
        <f>SUM(AW127:AW129)</f>
        <v>0</v>
      </c>
      <c r="AX126" s="130">
        <f>SUM(AX127:AX129)</f>
        <v>0</v>
      </c>
      <c r="AY126" s="130">
        <f>SUM(AY127:AY129)</f>
        <v>0</v>
      </c>
      <c r="AZ126" s="130">
        <f>SUM(AZ127:AZ129)</f>
        <v>0</v>
      </c>
      <c r="BA126" s="130">
        <f>SUM(BA127:BA129)</f>
        <v>0</v>
      </c>
      <c r="BB126" s="130">
        <f>SUM(BB127:BB129)</f>
        <v>0</v>
      </c>
      <c r="BC126" s="130">
        <f>SUM(BC127:BC129)</f>
        <v>0</v>
      </c>
      <c r="BD126" s="130">
        <f>SUM(BD127:BD129)</f>
        <v>0</v>
      </c>
      <c r="BE126" s="130">
        <f>SUM(BE127:BE129)</f>
        <v>0</v>
      </c>
      <c r="BF126" s="31"/>
      <c r="BG126" s="10"/>
      <c r="BH126" s="10"/>
      <c r="BI126" s="10"/>
      <c r="BJ126" s="10"/>
    </row>
    <row r="127" spans="1:62" s="154" customFormat="1" ht="15.75" customHeight="1" x14ac:dyDescent="0.25">
      <c r="A127" s="47" t="s">
        <v>148</v>
      </c>
      <c r="B127" s="82" t="s">
        <v>70</v>
      </c>
      <c r="C127" s="51">
        <f>3600+1800+1800+3600+3600+1800+3000+1500+1200-900</f>
        <v>21000</v>
      </c>
      <c r="D127" s="51"/>
      <c r="E127" s="51"/>
      <c r="F127" s="146"/>
      <c r="G127" s="52"/>
      <c r="H127" s="52"/>
      <c r="I127" s="52"/>
      <c r="J127" s="52">
        <f t="shared" ref="J127:L130" si="120">IF(BC127=0,SUM(S127+V127+Y127+AB127+AE127+AH127+AK127+AN127+AQ127+AT127+AW127+AZ127),BC127)</f>
        <v>0</v>
      </c>
      <c r="K127" s="52">
        <f t="shared" si="120"/>
        <v>0</v>
      </c>
      <c r="L127" s="52">
        <f t="shared" si="120"/>
        <v>0</v>
      </c>
      <c r="M127" s="52"/>
      <c r="N127" s="52"/>
      <c r="O127" s="52"/>
      <c r="P127" s="54"/>
      <c r="Q127" s="54"/>
      <c r="R127" s="54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25"/>
      <c r="BG127" s="3"/>
      <c r="BH127" s="3"/>
      <c r="BI127" s="3"/>
      <c r="BJ127" s="3"/>
    </row>
    <row r="128" spans="1:62" s="17" customFormat="1" ht="15.75" customHeight="1" x14ac:dyDescent="0.25">
      <c r="A128" s="59" t="s">
        <v>156</v>
      </c>
      <c r="B128" s="68" t="s">
        <v>166</v>
      </c>
      <c r="C128" s="51">
        <f>5254.16+890.42</f>
        <v>6144.58</v>
      </c>
      <c r="D128" s="51"/>
      <c r="E128" s="51"/>
      <c r="F128" s="119"/>
      <c r="G128" s="52">
        <f>S128+V128+Y128+AB128+AE128+AH128+AK128+AN128+AQ128+AT128+AW128+AZ128</f>
        <v>6144.58</v>
      </c>
      <c r="H128" s="52">
        <f t="shared" ref="G128:I130" si="121">T128+W128+Z128+AC128+AF128+AI128+AL128+AO128+AR128+AU128+AX128+BA128</f>
        <v>0</v>
      </c>
      <c r="I128" s="52">
        <f t="shared" si="121"/>
        <v>0</v>
      </c>
      <c r="J128" s="42">
        <f t="shared" si="120"/>
        <v>6144.58</v>
      </c>
      <c r="K128" s="52">
        <f t="shared" si="120"/>
        <v>0</v>
      </c>
      <c r="L128" s="52">
        <f t="shared" si="120"/>
        <v>0</v>
      </c>
      <c r="M128" s="52">
        <f t="shared" ref="M128:N130" si="122">C128-G128</f>
        <v>0</v>
      </c>
      <c r="N128" s="52">
        <f t="shared" si="122"/>
        <v>0</v>
      </c>
      <c r="O128" s="52">
        <f>F128-I128</f>
        <v>0</v>
      </c>
      <c r="P128" s="54">
        <f t="shared" si="119"/>
        <v>1</v>
      </c>
      <c r="Q128" s="54" t="e">
        <f t="shared" ref="Q128:Q132" si="123">H128/D128</f>
        <v>#DIV/0!</v>
      </c>
      <c r="R128" s="54" t="e">
        <f t="shared" ref="R128:R135" si="124">I128/F128</f>
        <v>#DIV/0!</v>
      </c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110">
        <f>5254.16+890.42</f>
        <v>6144.58</v>
      </c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132"/>
      <c r="BA128" s="50"/>
      <c r="BB128" s="50"/>
      <c r="BC128" s="50"/>
      <c r="BD128" s="50"/>
      <c r="BE128" s="50"/>
      <c r="BF128" s="25"/>
      <c r="BG128" s="3"/>
      <c r="BH128" s="3"/>
      <c r="BI128" s="3"/>
      <c r="BJ128" s="3"/>
    </row>
    <row r="129" spans="1:62" ht="15.75" customHeight="1" x14ac:dyDescent="0.25">
      <c r="A129" s="59" t="s">
        <v>149</v>
      </c>
      <c r="B129" s="68" t="s">
        <v>98</v>
      </c>
      <c r="C129" s="51">
        <v>4864.8599999999997</v>
      </c>
      <c r="D129" s="51"/>
      <c r="E129" s="51"/>
      <c r="F129" s="119"/>
      <c r="G129" s="52">
        <f t="shared" si="121"/>
        <v>4864.8599999999997</v>
      </c>
      <c r="H129" s="52">
        <f t="shared" si="121"/>
        <v>0</v>
      </c>
      <c r="I129" s="52">
        <f t="shared" si="121"/>
        <v>0</v>
      </c>
      <c r="J129" s="42">
        <f t="shared" si="120"/>
        <v>4864.8599999999997</v>
      </c>
      <c r="K129" s="52">
        <f t="shared" si="120"/>
        <v>0</v>
      </c>
      <c r="L129" s="52">
        <f t="shared" si="120"/>
        <v>0</v>
      </c>
      <c r="M129" s="52">
        <f t="shared" si="122"/>
        <v>0</v>
      </c>
      <c r="N129" s="52">
        <f t="shared" si="122"/>
        <v>0</v>
      </c>
      <c r="O129" s="52">
        <f>F129-I129</f>
        <v>0</v>
      </c>
      <c r="P129" s="54">
        <f t="shared" si="119"/>
        <v>1</v>
      </c>
      <c r="Q129" s="54" t="e">
        <f t="shared" si="123"/>
        <v>#DIV/0!</v>
      </c>
      <c r="R129" s="54" t="e">
        <f t="shared" si="124"/>
        <v>#DIV/0!</v>
      </c>
      <c r="S129" s="50"/>
      <c r="T129" s="50"/>
      <c r="U129" s="50"/>
      <c r="V129" s="50">
        <v>1621.62</v>
      </c>
      <c r="W129" s="50"/>
      <c r="X129" s="50"/>
      <c r="Y129" s="50"/>
      <c r="Z129" s="50"/>
      <c r="AA129" s="50"/>
      <c r="AB129" s="50">
        <v>810.81</v>
      </c>
      <c r="AC129" s="50"/>
      <c r="AD129" s="50"/>
      <c r="AE129" s="50">
        <v>810.81</v>
      </c>
      <c r="AF129" s="50"/>
      <c r="AG129" s="50"/>
      <c r="AH129" s="50">
        <f>810.81+810.81</f>
        <v>1621.62</v>
      </c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25"/>
      <c r="BG129" s="3"/>
      <c r="BH129" s="3"/>
      <c r="BI129" s="3"/>
      <c r="BJ129" s="3"/>
    </row>
    <row r="130" spans="1:62" s="20" customFormat="1" ht="15.75" customHeight="1" x14ac:dyDescent="0.25">
      <c r="A130" s="59" t="s">
        <v>140</v>
      </c>
      <c r="B130" s="48" t="s">
        <v>99</v>
      </c>
      <c r="C130" s="51"/>
      <c r="D130" s="78">
        <f>177+67.47+108+766.26</f>
        <v>1118.73</v>
      </c>
      <c r="E130" s="78">
        <v>1118.73</v>
      </c>
      <c r="F130" s="119"/>
      <c r="G130" s="52">
        <f t="shared" si="121"/>
        <v>0</v>
      </c>
      <c r="H130" s="52">
        <f t="shared" si="121"/>
        <v>0</v>
      </c>
      <c r="I130" s="52">
        <f t="shared" si="121"/>
        <v>0</v>
      </c>
      <c r="J130" s="52">
        <f t="shared" si="120"/>
        <v>0</v>
      </c>
      <c r="K130" s="52">
        <f t="shared" si="120"/>
        <v>0</v>
      </c>
      <c r="L130" s="52">
        <f t="shared" si="120"/>
        <v>0</v>
      </c>
      <c r="M130" s="52">
        <f t="shared" si="122"/>
        <v>0</v>
      </c>
      <c r="N130" s="52">
        <f>D130-H130-E130</f>
        <v>0</v>
      </c>
      <c r="O130" s="52">
        <f>F130-I130</f>
        <v>0</v>
      </c>
      <c r="P130" s="54" t="e">
        <f t="shared" si="119"/>
        <v>#DIV/0!</v>
      </c>
      <c r="Q130" s="54">
        <f t="shared" si="123"/>
        <v>0</v>
      </c>
      <c r="R130" s="54" t="e">
        <f t="shared" si="124"/>
        <v>#DIV/0!</v>
      </c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25"/>
      <c r="BG130" s="3"/>
      <c r="BH130" s="3"/>
      <c r="BI130" s="3"/>
      <c r="BJ130" s="3"/>
    </row>
    <row r="131" spans="1:62" ht="15.75" x14ac:dyDescent="0.25">
      <c r="A131" s="128"/>
      <c r="B131" s="129" t="s">
        <v>71</v>
      </c>
      <c r="C131" s="130">
        <f>SUM(C132:C133)</f>
        <v>0</v>
      </c>
      <c r="D131" s="130">
        <f>SUM(D132:D133)</f>
        <v>929.89</v>
      </c>
      <c r="E131" s="130"/>
      <c r="F131" s="130">
        <f>SUM(F132:F133)</f>
        <v>13485.5</v>
      </c>
      <c r="G131" s="130">
        <f>SUM(G132:G133)</f>
        <v>0</v>
      </c>
      <c r="H131" s="130">
        <f>SUM(H132:H133)</f>
        <v>929.89</v>
      </c>
      <c r="I131" s="130">
        <f>SUM(I132:I133)</f>
        <v>12735.5</v>
      </c>
      <c r="J131" s="160">
        <f t="shared" ref="J131:L132" si="125">IF(BC131=0,SUM(S131+V131+Y131+AB131+AE131+AH131+AK131+AN131+AQ131+AT131+AW131+AZ131),BC131)</f>
        <v>0</v>
      </c>
      <c r="K131" s="160">
        <f t="shared" si="125"/>
        <v>929.89</v>
      </c>
      <c r="L131" s="160">
        <f t="shared" si="125"/>
        <v>12735.5</v>
      </c>
      <c r="M131" s="130">
        <f>SUM(M132:M133)</f>
        <v>0</v>
      </c>
      <c r="N131" s="130">
        <f>SUM(N132:N133)</f>
        <v>0</v>
      </c>
      <c r="O131" s="130">
        <f>SUM(O132:O133)</f>
        <v>750</v>
      </c>
      <c r="P131" s="145" t="e">
        <f t="shared" si="119"/>
        <v>#DIV/0!</v>
      </c>
      <c r="Q131" s="145">
        <f t="shared" si="123"/>
        <v>1</v>
      </c>
      <c r="R131" s="145">
        <f t="shared" si="124"/>
        <v>0.94438470950279929</v>
      </c>
      <c r="S131" s="130">
        <f>SUM(S132:S133)</f>
        <v>0</v>
      </c>
      <c r="T131" s="130">
        <f>SUM(T132:T133)</f>
        <v>0</v>
      </c>
      <c r="U131" s="130">
        <f>SUM(U132:U133)</f>
        <v>0</v>
      </c>
      <c r="V131" s="130">
        <f>SUM(V132:V133)</f>
        <v>0</v>
      </c>
      <c r="W131" s="130">
        <f>SUM(W132:W133)</f>
        <v>0</v>
      </c>
      <c r="X131" s="130">
        <f>SUM(X132:X133)</f>
        <v>0</v>
      </c>
      <c r="Y131" s="130">
        <f>SUM(Y132:Y133)</f>
        <v>0</v>
      </c>
      <c r="Z131" s="130">
        <f>SUM(Z132:Z133)</f>
        <v>0</v>
      </c>
      <c r="AA131" s="130">
        <f>SUM(AA132:AA133)</f>
        <v>0</v>
      </c>
      <c r="AB131" s="130">
        <f>SUM(AB132:AB133)</f>
        <v>0</v>
      </c>
      <c r="AC131" s="130">
        <f>SUM(AC132:AC133)</f>
        <v>0</v>
      </c>
      <c r="AD131" s="130">
        <f>SUM(AD132:AD133)</f>
        <v>0</v>
      </c>
      <c r="AE131" s="130">
        <f>SUM(AE132:AE133)</f>
        <v>0</v>
      </c>
      <c r="AF131" s="130">
        <f>SUM(AF132:AF133)</f>
        <v>0</v>
      </c>
      <c r="AG131" s="130">
        <f>SUM(AG132:AG133)</f>
        <v>0</v>
      </c>
      <c r="AH131" s="130">
        <f>SUM(AH132:AH133)</f>
        <v>0</v>
      </c>
      <c r="AI131" s="130">
        <f>SUM(AI132:AI133)</f>
        <v>0</v>
      </c>
      <c r="AJ131" s="130">
        <f>SUM(AJ132:AJ133)</f>
        <v>0</v>
      </c>
      <c r="AK131" s="130">
        <f>SUM(AK132:AK133)</f>
        <v>0</v>
      </c>
      <c r="AL131" s="130">
        <f>SUM(AL132:AL133)</f>
        <v>0</v>
      </c>
      <c r="AM131" s="130">
        <f>SUM(AM132:AM133)</f>
        <v>0</v>
      </c>
      <c r="AN131" s="130">
        <f>SUM(AN132:AN133)</f>
        <v>0</v>
      </c>
      <c r="AO131" s="130">
        <f>SUM(AO132:AO133)</f>
        <v>0</v>
      </c>
      <c r="AP131" s="130">
        <f>SUM(AP132:AP133)</f>
        <v>0</v>
      </c>
      <c r="AQ131" s="130">
        <f>SUM(AQ132:AQ133)</f>
        <v>0</v>
      </c>
      <c r="AR131" s="130">
        <f>SUM(AR132:AR133)</f>
        <v>0</v>
      </c>
      <c r="AS131" s="130">
        <f>SUM(AS132:AS133)</f>
        <v>0</v>
      </c>
      <c r="AT131" s="130">
        <f>SUM(AT132:AT133)</f>
        <v>0</v>
      </c>
      <c r="AU131" s="130">
        <f>SUM(AU132:AU133)</f>
        <v>929.89</v>
      </c>
      <c r="AV131" s="130">
        <f>SUM(AV132:AV133)</f>
        <v>1870</v>
      </c>
      <c r="AW131" s="130">
        <f>SUM(AW132:AW133)</f>
        <v>0</v>
      </c>
      <c r="AX131" s="130">
        <f>SUM(AX132:AX133)</f>
        <v>0</v>
      </c>
      <c r="AY131" s="130">
        <f>SUM(AY132:AY133)</f>
        <v>0</v>
      </c>
      <c r="AZ131" s="130">
        <f>SUM(AZ132:AZ133)</f>
        <v>0</v>
      </c>
      <c r="BA131" s="130">
        <f>SUM(BA132:BA133)</f>
        <v>0</v>
      </c>
      <c r="BB131" s="130">
        <f>SUM(BB132:BB133)</f>
        <v>10865.5</v>
      </c>
      <c r="BC131" s="130">
        <f>SUM(BC132:BC133)</f>
        <v>0</v>
      </c>
      <c r="BD131" s="130">
        <f>SUM(BD132:BD133)</f>
        <v>0</v>
      </c>
      <c r="BE131" s="130">
        <f>SUM(BE132:BE133)</f>
        <v>0</v>
      </c>
      <c r="BF131" s="31"/>
      <c r="BG131" s="10"/>
      <c r="BH131" s="10"/>
      <c r="BI131" s="10"/>
      <c r="BJ131" s="10"/>
    </row>
    <row r="132" spans="1:62" ht="15.75" customHeight="1" x14ac:dyDescent="0.25">
      <c r="A132" s="47" t="s">
        <v>142</v>
      </c>
      <c r="B132" s="124" t="s">
        <v>72</v>
      </c>
      <c r="C132" s="51"/>
      <c r="D132" s="78">
        <v>929.89</v>
      </c>
      <c r="E132" s="78"/>
      <c r="F132" s="119"/>
      <c r="G132" s="52">
        <f t="shared" ref="G132:I132" si="126">S132+V132+Y132+AB132+AE132+AH132+AK132+AN132+AQ132+AT132+AW132+AZ132</f>
        <v>0</v>
      </c>
      <c r="H132" s="52">
        <f t="shared" si="126"/>
        <v>929.89</v>
      </c>
      <c r="I132" s="52">
        <f t="shared" si="126"/>
        <v>0</v>
      </c>
      <c r="J132" s="52">
        <f t="shared" si="125"/>
        <v>0</v>
      </c>
      <c r="K132" s="42">
        <f t="shared" si="125"/>
        <v>929.89</v>
      </c>
      <c r="L132" s="42">
        <f t="shared" si="125"/>
        <v>0</v>
      </c>
      <c r="M132" s="52">
        <f t="shared" ref="M132:N133" si="127">C132-G132</f>
        <v>0</v>
      </c>
      <c r="N132" s="52">
        <f t="shared" si="127"/>
        <v>0</v>
      </c>
      <c r="O132" s="52">
        <f t="shared" ref="O132:O133" si="128">F132-I132</f>
        <v>0</v>
      </c>
      <c r="P132" s="54" t="e">
        <f t="shared" si="119"/>
        <v>#DIV/0!</v>
      </c>
      <c r="Q132" s="54">
        <f t="shared" si="123"/>
        <v>1</v>
      </c>
      <c r="R132" s="54" t="e">
        <f t="shared" si="124"/>
        <v>#DIV/0!</v>
      </c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>
        <v>929.89</v>
      </c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25"/>
      <c r="BG132" s="3"/>
      <c r="BH132" s="3"/>
      <c r="BI132" s="3"/>
      <c r="BJ132" s="3"/>
    </row>
    <row r="133" spans="1:62" ht="15.75" customHeight="1" x14ac:dyDescent="0.25">
      <c r="A133" s="47" t="s">
        <v>155</v>
      </c>
      <c r="B133" s="82" t="s">
        <v>172</v>
      </c>
      <c r="C133" s="51"/>
      <c r="D133" s="51"/>
      <c r="E133" s="51"/>
      <c r="F133" s="168">
        <f>1870+500+4500+250+2820+400+3145.5</f>
        <v>13485.5</v>
      </c>
      <c r="G133" s="52">
        <f>S133+V133+Y133+AB133+AE133+AH133+AK133+AN133+AQ133+AT133+AW133+AZ133</f>
        <v>0</v>
      </c>
      <c r="H133" s="52">
        <f>T133+W133+Z133+AC133+AF133+AI133+AL133+AO133+AR133+AU133+AX133+BA133</f>
        <v>0</v>
      </c>
      <c r="I133" s="52">
        <f>U133+X133+AA133+AD133+AG133+AJ133+AM133+AP133+AS133+AV133+AY133+BB133</f>
        <v>12735.5</v>
      </c>
      <c r="J133" s="52">
        <f t="shared" ref="J133:L134" si="129">IF(BC133=0,SUM(S133+V133+Y133+AB133+AE133+AH133+AK133+AN133+AQ133+AT133+AW133+AZ133),BC133)</f>
        <v>0</v>
      </c>
      <c r="K133" s="42">
        <f t="shared" si="129"/>
        <v>0</v>
      </c>
      <c r="L133" s="42">
        <f t="shared" si="129"/>
        <v>12735.5</v>
      </c>
      <c r="M133" s="52">
        <f t="shared" si="127"/>
        <v>0</v>
      </c>
      <c r="N133" s="52">
        <f t="shared" si="127"/>
        <v>0</v>
      </c>
      <c r="O133" s="52">
        <f t="shared" si="128"/>
        <v>750</v>
      </c>
      <c r="P133" s="54" t="e">
        <f t="shared" ref="P133:Q135" si="130">G133/C133</f>
        <v>#DIV/0!</v>
      </c>
      <c r="Q133" s="54" t="e">
        <f t="shared" si="130"/>
        <v>#DIV/0!</v>
      </c>
      <c r="R133" s="54">
        <f t="shared" si="124"/>
        <v>0.94438470950279929</v>
      </c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>
        <f>1870</f>
        <v>1870</v>
      </c>
      <c r="AW133" s="50"/>
      <c r="AX133" s="50"/>
      <c r="AY133" s="50"/>
      <c r="AZ133" s="50"/>
      <c r="BA133" s="50"/>
      <c r="BB133" s="50">
        <f>400+4500+2820+3145.5</f>
        <v>10865.5</v>
      </c>
      <c r="BC133" s="50"/>
      <c r="BD133" s="50"/>
      <c r="BE133" s="50"/>
      <c r="BF133" s="25"/>
      <c r="BG133" s="3"/>
      <c r="BH133" s="3"/>
      <c r="BI133" s="3"/>
      <c r="BJ133" s="3"/>
    </row>
    <row r="134" spans="1:62" ht="15.75" x14ac:dyDescent="0.25">
      <c r="A134" s="148"/>
      <c r="B134" s="149" t="s">
        <v>73</v>
      </c>
      <c r="C134" s="150">
        <f>SUM(C135:C135)</f>
        <v>0</v>
      </c>
      <c r="D134" s="150">
        <f>SUM(D135:D135)</f>
        <v>8583.0400000000009</v>
      </c>
      <c r="E134" s="150"/>
      <c r="F134" s="150">
        <f>SUM(F135:F135)</f>
        <v>0</v>
      </c>
      <c r="G134" s="150">
        <f>SUM(G135:G135)</f>
        <v>0</v>
      </c>
      <c r="H134" s="150">
        <f>SUM(H135:H135)</f>
        <v>8225</v>
      </c>
      <c r="I134" s="150">
        <f>SUM(I135:I135)</f>
        <v>0</v>
      </c>
      <c r="J134" s="134">
        <f t="shared" si="129"/>
        <v>0</v>
      </c>
      <c r="K134" s="134">
        <f t="shared" si="129"/>
        <v>8225</v>
      </c>
      <c r="L134" s="134">
        <f t="shared" si="129"/>
        <v>0</v>
      </c>
      <c r="M134" s="150">
        <f>SUM(M135:M135)</f>
        <v>0</v>
      </c>
      <c r="N134" s="150">
        <f>SUM(N135:N135)</f>
        <v>358.04000000000087</v>
      </c>
      <c r="O134" s="150">
        <f>SUM(O135:O135)</f>
        <v>0</v>
      </c>
      <c r="P134" s="151" t="e">
        <f t="shared" si="130"/>
        <v>#DIV/0!</v>
      </c>
      <c r="Q134" s="151">
        <f t="shared" si="130"/>
        <v>0.9582851763477741</v>
      </c>
      <c r="R134" s="151" t="e">
        <f t="shared" si="124"/>
        <v>#DIV/0!</v>
      </c>
      <c r="S134" s="150">
        <f>SUM(S135:S135)</f>
        <v>0</v>
      </c>
      <c r="T134" s="150">
        <f>SUM(T135:T135)</f>
        <v>0</v>
      </c>
      <c r="U134" s="150">
        <f>SUM(U135:U135)</f>
        <v>0</v>
      </c>
      <c r="V134" s="150">
        <f>SUM(V135:V135)</f>
        <v>0</v>
      </c>
      <c r="W134" s="150">
        <f>SUM(W135:W135)</f>
        <v>6316</v>
      </c>
      <c r="X134" s="150">
        <f>SUM(X135:X135)</f>
        <v>0</v>
      </c>
      <c r="Y134" s="150">
        <f>SUM(Y135:Y135)</f>
        <v>0</v>
      </c>
      <c r="Z134" s="150">
        <f>SUM(Z135:Z135)</f>
        <v>0</v>
      </c>
      <c r="AA134" s="150">
        <f>SUM(AA135:AA135)</f>
        <v>0</v>
      </c>
      <c r="AB134" s="150">
        <f>SUM(AB135:AB135)</f>
        <v>0</v>
      </c>
      <c r="AC134" s="150">
        <f>SUM(AC135:AC135)</f>
        <v>0</v>
      </c>
      <c r="AD134" s="150">
        <f>SUM(AD135:AD135)</f>
        <v>0</v>
      </c>
      <c r="AE134" s="150">
        <f>SUM(AE135:AE135)</f>
        <v>0</v>
      </c>
      <c r="AF134" s="150">
        <f>SUM(AF135:AF135)</f>
        <v>0</v>
      </c>
      <c r="AG134" s="150">
        <f>SUM(AG135:AG135)</f>
        <v>0</v>
      </c>
      <c r="AH134" s="150">
        <f>SUM(AH135:AH135)</f>
        <v>0</v>
      </c>
      <c r="AI134" s="150">
        <f>SUM(AI135:AI135)</f>
        <v>0</v>
      </c>
      <c r="AJ134" s="150">
        <f>SUM(AJ135:AJ135)</f>
        <v>0</v>
      </c>
      <c r="AK134" s="150">
        <f>SUM(AK135:AK135)</f>
        <v>0</v>
      </c>
      <c r="AL134" s="150">
        <f>SUM(AL135:AL135)</f>
        <v>0</v>
      </c>
      <c r="AM134" s="150">
        <f>SUM(AM135:AM135)</f>
        <v>0</v>
      </c>
      <c r="AN134" s="150">
        <f>SUM(AN135:AN135)</f>
        <v>0</v>
      </c>
      <c r="AO134" s="150">
        <f>SUM(AO135:AO135)</f>
        <v>0</v>
      </c>
      <c r="AP134" s="150">
        <f>SUM(AP135:AP135)</f>
        <v>0</v>
      </c>
      <c r="AQ134" s="150">
        <f>SUM(AQ135:AQ135)</f>
        <v>0</v>
      </c>
      <c r="AR134" s="150">
        <f>SUM(AR135:AR135)</f>
        <v>0</v>
      </c>
      <c r="AS134" s="150">
        <f>SUM(AS135:AS135)</f>
        <v>0</v>
      </c>
      <c r="AT134" s="150">
        <f>SUM(AT135:AT135)</f>
        <v>0</v>
      </c>
      <c r="AU134" s="150">
        <f>SUM(AU135:AU135)</f>
        <v>0</v>
      </c>
      <c r="AV134" s="150">
        <f>SUM(AV135:AV135)</f>
        <v>0</v>
      </c>
      <c r="AW134" s="150">
        <f>SUM(AW135:AW135)</f>
        <v>0</v>
      </c>
      <c r="AX134" s="150">
        <f>SUM(AX135:AX135)</f>
        <v>0</v>
      </c>
      <c r="AY134" s="150">
        <f>SUM(AY135:AY135)</f>
        <v>0</v>
      </c>
      <c r="AZ134" s="150">
        <f>SUM(AZ135:AZ135)</f>
        <v>0</v>
      </c>
      <c r="BA134" s="150">
        <f>SUM(BA135:BA135)</f>
        <v>1909</v>
      </c>
      <c r="BB134" s="150">
        <f>SUM(BB135:BB135)</f>
        <v>0</v>
      </c>
      <c r="BC134" s="150">
        <f>SUM(BC135:BC135)</f>
        <v>0</v>
      </c>
      <c r="BD134" s="150">
        <f>SUM(BD135:BD135)</f>
        <v>0</v>
      </c>
      <c r="BE134" s="150">
        <f>SUM(BE135:BE135)</f>
        <v>0</v>
      </c>
      <c r="BF134" s="31"/>
      <c r="BG134" s="10"/>
      <c r="BH134" s="10"/>
      <c r="BI134" s="10"/>
      <c r="BJ134" s="10"/>
    </row>
    <row r="135" spans="1:62" ht="15.75" customHeight="1" x14ac:dyDescent="0.25">
      <c r="A135" s="59" t="s">
        <v>144</v>
      </c>
      <c r="B135" s="48" t="s">
        <v>110</v>
      </c>
      <c r="C135" s="51"/>
      <c r="D135" s="78">
        <f>558+3202+552+358.04+2004+780+675+454</f>
        <v>8583.0400000000009</v>
      </c>
      <c r="E135" s="78"/>
      <c r="F135" s="147"/>
      <c r="G135" s="52">
        <f t="shared" ref="G135:I135" si="131">S135+V135+Y135+AB135+AE135+AH135+AK135+AN135+AQ135+AT135+AW135+AZ135</f>
        <v>0</v>
      </c>
      <c r="H135" s="52">
        <f t="shared" si="131"/>
        <v>8225</v>
      </c>
      <c r="I135" s="52">
        <f t="shared" si="131"/>
        <v>0</v>
      </c>
      <c r="J135" s="52">
        <f t="shared" ref="J135:L135" si="132">IF(BC135=0,SUM(S135+V135+Y135+AB135+AE135+AH135+AK135+AN135+AQ135+AT135+AW135+AZ135),BC135)</f>
        <v>0</v>
      </c>
      <c r="K135" s="42">
        <f t="shared" si="132"/>
        <v>8225</v>
      </c>
      <c r="L135" s="52">
        <f t="shared" si="132"/>
        <v>0</v>
      </c>
      <c r="M135" s="52">
        <f t="shared" ref="M135:N135" si="133">C135-G135</f>
        <v>0</v>
      </c>
      <c r="N135" s="52">
        <f t="shared" si="133"/>
        <v>358.04000000000087</v>
      </c>
      <c r="O135" s="52">
        <f>F135-I135</f>
        <v>0</v>
      </c>
      <c r="P135" s="54" t="e">
        <f t="shared" si="130"/>
        <v>#DIV/0!</v>
      </c>
      <c r="Q135" s="54">
        <f t="shared" si="130"/>
        <v>0.9582851763477741</v>
      </c>
      <c r="R135" s="54" t="e">
        <f t="shared" si="124"/>
        <v>#DIV/0!</v>
      </c>
      <c r="S135" s="50"/>
      <c r="T135" s="50"/>
      <c r="U135" s="50"/>
      <c r="V135" s="50"/>
      <c r="W135" s="61">
        <f>2004+4312</f>
        <v>6316</v>
      </c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>
        <v>1909</v>
      </c>
      <c r="BB135" s="50"/>
      <c r="BC135" s="50"/>
      <c r="BD135" s="50"/>
      <c r="BE135" s="50"/>
      <c r="BF135" s="25"/>
      <c r="BG135" s="3"/>
      <c r="BH135" s="3"/>
      <c r="BI135" s="3"/>
      <c r="BJ135" s="3"/>
    </row>
    <row r="136" spans="1:62" ht="15.75" customHeight="1" x14ac:dyDescent="0.25">
      <c r="A136" s="18"/>
      <c r="B136" s="11"/>
      <c r="C136" s="12"/>
      <c r="D136" s="12"/>
      <c r="E136" s="12"/>
      <c r="F136" s="12"/>
      <c r="G136" s="12"/>
      <c r="H136" s="12"/>
      <c r="I136" s="12"/>
      <c r="J136" s="13"/>
      <c r="K136" s="13"/>
      <c r="L136" s="13"/>
      <c r="M136" s="12"/>
      <c r="N136" s="12"/>
      <c r="O136" s="12"/>
      <c r="P136" s="12"/>
      <c r="Q136" s="14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5"/>
      <c r="BG136" s="15"/>
      <c r="BH136" s="15"/>
      <c r="BI136" s="15"/>
      <c r="BJ136" s="15"/>
    </row>
    <row r="137" spans="1:62" ht="15.75" customHeight="1" x14ac:dyDescent="0.25">
      <c r="Q137" s="16"/>
    </row>
    <row r="138" spans="1:62" ht="15.75" customHeight="1" x14ac:dyDescent="0.25">
      <c r="Q138" s="16"/>
    </row>
    <row r="139" spans="1:62" ht="15.75" customHeight="1" x14ac:dyDescent="0.25">
      <c r="Q139" s="16"/>
    </row>
    <row r="140" spans="1:62" ht="15.75" customHeight="1" x14ac:dyDescent="0.25">
      <c r="Q140" s="16"/>
    </row>
    <row r="141" spans="1:62" ht="15.75" customHeight="1" x14ac:dyDescent="0.25">
      <c r="Q141" s="16"/>
    </row>
    <row r="142" spans="1:62" ht="15.75" customHeight="1" x14ac:dyDescent="0.25">
      <c r="Q142" s="16"/>
    </row>
    <row r="143" spans="1:62" ht="15.75" customHeight="1" x14ac:dyDescent="0.25">
      <c r="Q143" s="16"/>
    </row>
    <row r="144" spans="1:62" ht="15.75" customHeight="1" x14ac:dyDescent="0.25">
      <c r="Q144" s="16"/>
    </row>
    <row r="145" spans="17:17" ht="15.75" customHeight="1" x14ac:dyDescent="0.25">
      <c r="Q145" s="16"/>
    </row>
    <row r="146" spans="17:17" ht="15.75" customHeight="1" x14ac:dyDescent="0.25">
      <c r="Q146" s="16"/>
    </row>
    <row r="147" spans="17:17" ht="15.75" customHeight="1" x14ac:dyDescent="0.25">
      <c r="Q147" s="16"/>
    </row>
    <row r="148" spans="17:17" ht="15.75" customHeight="1" x14ac:dyDescent="0.25">
      <c r="Q148" s="16"/>
    </row>
    <row r="149" spans="17:17" ht="15.75" customHeight="1" x14ac:dyDescent="0.25">
      <c r="Q149" s="16"/>
    </row>
    <row r="150" spans="17:17" ht="15.75" customHeight="1" x14ac:dyDescent="0.25">
      <c r="Q150" s="16"/>
    </row>
    <row r="151" spans="17:17" ht="15.75" customHeight="1" x14ac:dyDescent="0.25">
      <c r="Q151" s="16"/>
    </row>
    <row r="152" spans="17:17" ht="15.75" customHeight="1" x14ac:dyDescent="0.25">
      <c r="Q152" s="16"/>
    </row>
    <row r="153" spans="17:17" ht="15.75" customHeight="1" x14ac:dyDescent="0.25">
      <c r="Q153" s="16"/>
    </row>
    <row r="154" spans="17:17" ht="15.75" customHeight="1" x14ac:dyDescent="0.25">
      <c r="Q154" s="16"/>
    </row>
    <row r="155" spans="17:17" ht="15.75" customHeight="1" x14ac:dyDescent="0.25">
      <c r="Q155" s="16"/>
    </row>
    <row r="156" spans="17:17" ht="15.75" customHeight="1" x14ac:dyDescent="0.25">
      <c r="Q156" s="16"/>
    </row>
    <row r="157" spans="17:17" ht="15.75" customHeight="1" x14ac:dyDescent="0.25">
      <c r="Q157" s="16"/>
    </row>
    <row r="158" spans="17:17" ht="15.75" customHeight="1" x14ac:dyDescent="0.25">
      <c r="Q158" s="16"/>
    </row>
    <row r="159" spans="17:17" ht="15.75" customHeight="1" x14ac:dyDescent="0.25">
      <c r="Q159" s="16"/>
    </row>
    <row r="160" spans="17:17" ht="15.75" customHeight="1" x14ac:dyDescent="0.25">
      <c r="Q160" s="16"/>
    </row>
    <row r="161" spans="17:17" ht="15.75" customHeight="1" x14ac:dyDescent="0.25">
      <c r="Q161" s="16"/>
    </row>
    <row r="162" spans="17:17" ht="15.75" customHeight="1" x14ac:dyDescent="0.25">
      <c r="Q162" s="16"/>
    </row>
    <row r="163" spans="17:17" ht="15.75" customHeight="1" x14ac:dyDescent="0.25">
      <c r="Q163" s="16"/>
    </row>
    <row r="164" spans="17:17" ht="15.75" customHeight="1" x14ac:dyDescent="0.25">
      <c r="Q164" s="16"/>
    </row>
    <row r="165" spans="17:17" ht="15.75" customHeight="1" x14ac:dyDescent="0.25">
      <c r="Q165" s="16"/>
    </row>
    <row r="166" spans="17:17" ht="15.75" customHeight="1" x14ac:dyDescent="0.25">
      <c r="Q166" s="16"/>
    </row>
    <row r="167" spans="17:17" ht="15.75" customHeight="1" x14ac:dyDescent="0.25">
      <c r="Q167" s="16"/>
    </row>
    <row r="168" spans="17:17" ht="15.75" customHeight="1" x14ac:dyDescent="0.25">
      <c r="Q168" s="16"/>
    </row>
    <row r="169" spans="17:17" ht="15.75" customHeight="1" x14ac:dyDescent="0.25">
      <c r="Q169" s="16"/>
    </row>
    <row r="170" spans="17:17" ht="15.75" customHeight="1" x14ac:dyDescent="0.25">
      <c r="Q170" s="16"/>
    </row>
    <row r="171" spans="17:17" ht="15.75" customHeight="1" x14ac:dyDescent="0.25">
      <c r="Q171" s="16"/>
    </row>
    <row r="172" spans="17:17" ht="15.75" customHeight="1" x14ac:dyDescent="0.25">
      <c r="Q172" s="16"/>
    </row>
    <row r="173" spans="17:17" ht="15.75" customHeight="1" x14ac:dyDescent="0.25">
      <c r="Q173" s="16"/>
    </row>
    <row r="174" spans="17:17" ht="15.75" customHeight="1" x14ac:dyDescent="0.25">
      <c r="Q174" s="16"/>
    </row>
    <row r="175" spans="17:17" ht="15.75" customHeight="1" x14ac:dyDescent="0.25">
      <c r="Q175" s="16"/>
    </row>
    <row r="176" spans="17:17" ht="15.75" customHeight="1" x14ac:dyDescent="0.25">
      <c r="Q176" s="16"/>
    </row>
    <row r="177" spans="17:17" ht="15.75" customHeight="1" x14ac:dyDescent="0.25">
      <c r="Q177" s="16"/>
    </row>
    <row r="178" spans="17:17" ht="15.75" customHeight="1" x14ac:dyDescent="0.25">
      <c r="Q178" s="16"/>
    </row>
    <row r="179" spans="17:17" ht="15.75" customHeight="1" x14ac:dyDescent="0.25">
      <c r="Q179" s="16"/>
    </row>
    <row r="180" spans="17:17" ht="15.75" customHeight="1" x14ac:dyDescent="0.25">
      <c r="Q180" s="16"/>
    </row>
    <row r="181" spans="17:17" ht="15.75" customHeight="1" x14ac:dyDescent="0.25">
      <c r="Q181" s="16"/>
    </row>
    <row r="182" spans="17:17" ht="15.75" customHeight="1" x14ac:dyDescent="0.25">
      <c r="Q182" s="16"/>
    </row>
    <row r="183" spans="17:17" ht="15.75" customHeight="1" x14ac:dyDescent="0.25">
      <c r="Q183" s="16"/>
    </row>
    <row r="184" spans="17:17" ht="15.75" customHeight="1" x14ac:dyDescent="0.25">
      <c r="Q184" s="16"/>
    </row>
    <row r="185" spans="17:17" ht="15.75" customHeight="1" x14ac:dyDescent="0.25">
      <c r="Q185" s="16"/>
    </row>
    <row r="186" spans="17:17" ht="15.75" customHeight="1" x14ac:dyDescent="0.25">
      <c r="Q186" s="16"/>
    </row>
    <row r="187" spans="17:17" ht="15.75" customHeight="1" x14ac:dyDescent="0.25">
      <c r="Q187" s="16"/>
    </row>
    <row r="188" spans="17:17" ht="15.75" customHeight="1" x14ac:dyDescent="0.25">
      <c r="Q188" s="16"/>
    </row>
    <row r="189" spans="17:17" ht="15.75" customHeight="1" x14ac:dyDescent="0.25">
      <c r="Q189" s="16"/>
    </row>
    <row r="190" spans="17:17" ht="15.75" customHeight="1" x14ac:dyDescent="0.25">
      <c r="Q190" s="16"/>
    </row>
    <row r="191" spans="17:17" ht="15.75" customHeight="1" x14ac:dyDescent="0.25">
      <c r="Q191" s="16"/>
    </row>
    <row r="192" spans="17:17" ht="15.75" customHeight="1" x14ac:dyDescent="0.25">
      <c r="Q192" s="16"/>
    </row>
    <row r="193" spans="17:17" ht="15.75" customHeight="1" x14ac:dyDescent="0.25">
      <c r="Q193" s="16"/>
    </row>
    <row r="194" spans="17:17" ht="15.75" customHeight="1" x14ac:dyDescent="0.25">
      <c r="Q194" s="16"/>
    </row>
    <row r="195" spans="17:17" ht="15.75" customHeight="1" x14ac:dyDescent="0.25">
      <c r="Q195" s="16"/>
    </row>
    <row r="196" spans="17:17" ht="15.75" customHeight="1" x14ac:dyDescent="0.25">
      <c r="Q196" s="16"/>
    </row>
    <row r="197" spans="17:17" ht="15.75" customHeight="1" x14ac:dyDescent="0.25">
      <c r="Q197" s="16"/>
    </row>
    <row r="198" spans="17:17" ht="15.75" customHeight="1" x14ac:dyDescent="0.25">
      <c r="Q198" s="16"/>
    </row>
    <row r="199" spans="17:17" ht="15.75" customHeight="1" x14ac:dyDescent="0.25">
      <c r="Q199" s="16"/>
    </row>
    <row r="200" spans="17:17" ht="15.75" customHeight="1" x14ac:dyDescent="0.25">
      <c r="Q200" s="16"/>
    </row>
    <row r="201" spans="17:17" ht="15.75" customHeight="1" x14ac:dyDescent="0.25">
      <c r="Q201" s="16"/>
    </row>
    <row r="202" spans="17:17" ht="15.75" customHeight="1" x14ac:dyDescent="0.25">
      <c r="Q202" s="16"/>
    </row>
    <row r="203" spans="17:17" ht="15.75" customHeight="1" x14ac:dyDescent="0.25">
      <c r="Q203" s="16"/>
    </row>
    <row r="204" spans="17:17" ht="15.75" customHeight="1" x14ac:dyDescent="0.25">
      <c r="Q204" s="16"/>
    </row>
    <row r="205" spans="17:17" ht="15.75" customHeight="1" x14ac:dyDescent="0.25">
      <c r="Q205" s="16"/>
    </row>
    <row r="206" spans="17:17" ht="15.75" customHeight="1" x14ac:dyDescent="0.25">
      <c r="Q206" s="16"/>
    </row>
    <row r="207" spans="17:17" ht="15.75" customHeight="1" x14ac:dyDescent="0.25">
      <c r="Q207" s="16"/>
    </row>
    <row r="208" spans="17:17" ht="15.75" customHeight="1" x14ac:dyDescent="0.25">
      <c r="Q208" s="16"/>
    </row>
    <row r="209" spans="17:17" ht="15.75" customHeight="1" x14ac:dyDescent="0.25">
      <c r="Q209" s="16"/>
    </row>
    <row r="210" spans="17:17" ht="15.75" customHeight="1" x14ac:dyDescent="0.25">
      <c r="Q210" s="16"/>
    </row>
    <row r="211" spans="17:17" ht="15.75" customHeight="1" x14ac:dyDescent="0.25">
      <c r="Q211" s="16"/>
    </row>
    <row r="212" spans="17:17" ht="15.75" customHeight="1" x14ac:dyDescent="0.25">
      <c r="Q212" s="16"/>
    </row>
    <row r="213" spans="17:17" ht="15.75" customHeight="1" x14ac:dyDescent="0.25">
      <c r="Q213" s="16"/>
    </row>
    <row r="214" spans="17:17" ht="15.75" customHeight="1" x14ac:dyDescent="0.25">
      <c r="Q214" s="16"/>
    </row>
    <row r="215" spans="17:17" ht="15.75" customHeight="1" x14ac:dyDescent="0.25">
      <c r="Q215" s="16"/>
    </row>
    <row r="216" spans="17:17" ht="15.75" customHeight="1" x14ac:dyDescent="0.25">
      <c r="Q216" s="16"/>
    </row>
    <row r="217" spans="17:17" ht="15.75" customHeight="1" x14ac:dyDescent="0.25">
      <c r="Q217" s="16"/>
    </row>
    <row r="218" spans="17:17" ht="15.75" customHeight="1" x14ac:dyDescent="0.25">
      <c r="Q218" s="16"/>
    </row>
    <row r="219" spans="17:17" ht="15.75" customHeight="1" x14ac:dyDescent="0.25">
      <c r="Q219" s="16"/>
    </row>
    <row r="220" spans="17:17" ht="15.75" customHeight="1" x14ac:dyDescent="0.25">
      <c r="Q220" s="16"/>
    </row>
    <row r="221" spans="17:17" ht="15.75" customHeight="1" x14ac:dyDescent="0.25">
      <c r="Q221" s="16"/>
    </row>
    <row r="222" spans="17:17" ht="15.75" customHeight="1" x14ac:dyDescent="0.25">
      <c r="Q222" s="16"/>
    </row>
    <row r="223" spans="17:17" ht="15.75" customHeight="1" x14ac:dyDescent="0.25">
      <c r="Q223" s="16"/>
    </row>
    <row r="224" spans="17:17" ht="15.75" customHeight="1" x14ac:dyDescent="0.25">
      <c r="Q224" s="16"/>
    </row>
    <row r="225" spans="17:17" ht="15.75" customHeight="1" x14ac:dyDescent="0.25">
      <c r="Q225" s="16"/>
    </row>
    <row r="226" spans="17:17" ht="15.75" customHeight="1" x14ac:dyDescent="0.25">
      <c r="Q226" s="16"/>
    </row>
    <row r="227" spans="17:17" ht="15.75" customHeight="1" x14ac:dyDescent="0.25">
      <c r="Q227" s="16"/>
    </row>
    <row r="228" spans="17:17" ht="15.75" customHeight="1" x14ac:dyDescent="0.25">
      <c r="Q228" s="16"/>
    </row>
    <row r="229" spans="17:17" ht="15.75" customHeight="1" x14ac:dyDescent="0.25">
      <c r="Q229" s="16"/>
    </row>
    <row r="230" spans="17:17" ht="15.75" customHeight="1" x14ac:dyDescent="0.25">
      <c r="Q230" s="16"/>
    </row>
    <row r="231" spans="17:17" ht="15.75" customHeight="1" x14ac:dyDescent="0.25">
      <c r="Q231" s="16"/>
    </row>
    <row r="232" spans="17:17" ht="15.75" customHeight="1" x14ac:dyDescent="0.25">
      <c r="Q232" s="16"/>
    </row>
    <row r="233" spans="17:17" ht="15.75" customHeight="1" x14ac:dyDescent="0.25">
      <c r="Q233" s="16"/>
    </row>
    <row r="234" spans="17:17" ht="15.75" customHeight="1" x14ac:dyDescent="0.25">
      <c r="Q234" s="16"/>
    </row>
    <row r="235" spans="17:17" ht="15.75" customHeight="1" x14ac:dyDescent="0.25">
      <c r="Q235" s="16"/>
    </row>
    <row r="236" spans="17:17" ht="15.75" customHeight="1" x14ac:dyDescent="0.25">
      <c r="Q236" s="16"/>
    </row>
    <row r="237" spans="17:17" ht="15.75" customHeight="1" x14ac:dyDescent="0.25">
      <c r="Q237" s="16"/>
    </row>
    <row r="238" spans="17:17" ht="15.75" customHeight="1" x14ac:dyDescent="0.25">
      <c r="Q238" s="16"/>
    </row>
    <row r="239" spans="17:17" ht="15.75" customHeight="1" x14ac:dyDescent="0.25">
      <c r="Q239" s="16"/>
    </row>
    <row r="240" spans="17:17" ht="15.75" customHeight="1" x14ac:dyDescent="0.25">
      <c r="Q240" s="16"/>
    </row>
    <row r="241" spans="17:17" ht="15.75" customHeight="1" x14ac:dyDescent="0.25">
      <c r="Q241" s="16"/>
    </row>
    <row r="242" spans="17:17" ht="15.75" customHeight="1" x14ac:dyDescent="0.25">
      <c r="Q242" s="16"/>
    </row>
    <row r="243" spans="17:17" ht="15.75" customHeight="1" x14ac:dyDescent="0.25">
      <c r="Q243" s="16"/>
    </row>
    <row r="244" spans="17:17" ht="15.75" customHeight="1" x14ac:dyDescent="0.25">
      <c r="Q244" s="16"/>
    </row>
    <row r="245" spans="17:17" ht="15.75" customHeight="1" x14ac:dyDescent="0.25">
      <c r="Q245" s="16"/>
    </row>
    <row r="246" spans="17:17" ht="15.75" customHeight="1" x14ac:dyDescent="0.25">
      <c r="Q246" s="16"/>
    </row>
    <row r="247" spans="17:17" ht="15.75" customHeight="1" x14ac:dyDescent="0.25">
      <c r="Q247" s="16"/>
    </row>
    <row r="248" spans="17:17" ht="15.75" customHeight="1" x14ac:dyDescent="0.25">
      <c r="Q248" s="16"/>
    </row>
    <row r="249" spans="17:17" ht="15.75" customHeight="1" x14ac:dyDescent="0.25">
      <c r="Q249" s="16"/>
    </row>
    <row r="250" spans="17:17" ht="15.75" customHeight="1" x14ac:dyDescent="0.25">
      <c r="Q250" s="16"/>
    </row>
    <row r="251" spans="17:17" ht="15.75" customHeight="1" x14ac:dyDescent="0.25">
      <c r="Q251" s="16"/>
    </row>
    <row r="252" spans="17:17" ht="15.75" customHeight="1" x14ac:dyDescent="0.25">
      <c r="Q252" s="16"/>
    </row>
    <row r="253" spans="17:17" ht="15.75" customHeight="1" x14ac:dyDescent="0.25">
      <c r="Q253" s="16"/>
    </row>
    <row r="254" spans="17:17" ht="15.75" customHeight="1" x14ac:dyDescent="0.25">
      <c r="Q254" s="16"/>
    </row>
    <row r="255" spans="17:17" ht="15.75" customHeight="1" x14ac:dyDescent="0.25">
      <c r="Q255" s="16"/>
    </row>
    <row r="256" spans="17:17" ht="15.75" customHeight="1" x14ac:dyDescent="0.25">
      <c r="Q256" s="16"/>
    </row>
    <row r="257" spans="17:17" ht="15.75" customHeight="1" x14ac:dyDescent="0.25">
      <c r="Q257" s="16"/>
    </row>
    <row r="258" spans="17:17" ht="15.75" customHeight="1" x14ac:dyDescent="0.25">
      <c r="Q258" s="16"/>
    </row>
    <row r="259" spans="17:17" ht="15.75" customHeight="1" x14ac:dyDescent="0.25">
      <c r="Q259" s="16"/>
    </row>
    <row r="260" spans="17:17" ht="15.75" customHeight="1" x14ac:dyDescent="0.25">
      <c r="Q260" s="16"/>
    </row>
    <row r="261" spans="17:17" ht="15.75" customHeight="1" x14ac:dyDescent="0.25">
      <c r="Q261" s="16"/>
    </row>
    <row r="262" spans="17:17" ht="15.75" customHeight="1" x14ac:dyDescent="0.25">
      <c r="Q262" s="16"/>
    </row>
    <row r="263" spans="17:17" ht="15.75" customHeight="1" x14ac:dyDescent="0.25">
      <c r="Q263" s="16"/>
    </row>
    <row r="264" spans="17:17" ht="15.75" customHeight="1" x14ac:dyDescent="0.25">
      <c r="Q264" s="16"/>
    </row>
    <row r="265" spans="17:17" ht="15.75" customHeight="1" x14ac:dyDescent="0.25">
      <c r="Q265" s="16"/>
    </row>
    <row r="266" spans="17:17" ht="15.75" customHeight="1" x14ac:dyDescent="0.25">
      <c r="Q266" s="16"/>
    </row>
    <row r="267" spans="17:17" ht="15.75" customHeight="1" x14ac:dyDescent="0.25">
      <c r="Q267" s="16"/>
    </row>
    <row r="268" spans="17:17" ht="15.75" customHeight="1" x14ac:dyDescent="0.25">
      <c r="Q268" s="16"/>
    </row>
    <row r="269" spans="17:17" ht="15.75" customHeight="1" x14ac:dyDescent="0.25">
      <c r="Q269" s="16"/>
    </row>
    <row r="270" spans="17:17" ht="15.75" customHeight="1" x14ac:dyDescent="0.25">
      <c r="Q270" s="16"/>
    </row>
    <row r="271" spans="17:17" ht="15.75" customHeight="1" x14ac:dyDescent="0.25">
      <c r="Q271" s="16"/>
    </row>
    <row r="272" spans="17:17" ht="15.75" customHeight="1" x14ac:dyDescent="0.25">
      <c r="Q272" s="16"/>
    </row>
    <row r="273" spans="17:17" ht="15.75" customHeight="1" x14ac:dyDescent="0.25">
      <c r="Q273" s="16"/>
    </row>
    <row r="274" spans="17:17" ht="15.75" customHeight="1" x14ac:dyDescent="0.25">
      <c r="Q274" s="16"/>
    </row>
    <row r="275" spans="17:17" ht="15.75" customHeight="1" x14ac:dyDescent="0.25">
      <c r="Q275" s="16"/>
    </row>
    <row r="276" spans="17:17" ht="15.75" customHeight="1" x14ac:dyDescent="0.25">
      <c r="Q276" s="16"/>
    </row>
    <row r="277" spans="17:17" ht="15.75" customHeight="1" x14ac:dyDescent="0.25">
      <c r="Q277" s="16"/>
    </row>
    <row r="278" spans="17:17" ht="15.75" customHeight="1" x14ac:dyDescent="0.25">
      <c r="Q278" s="16"/>
    </row>
    <row r="279" spans="17:17" ht="15.75" customHeight="1" x14ac:dyDescent="0.25">
      <c r="Q279" s="16"/>
    </row>
    <row r="280" spans="17:17" ht="15.75" customHeight="1" x14ac:dyDescent="0.25">
      <c r="Q280" s="16"/>
    </row>
    <row r="281" spans="17:17" ht="15.75" customHeight="1" x14ac:dyDescent="0.25">
      <c r="Q281" s="16"/>
    </row>
    <row r="282" spans="17:17" ht="15.75" customHeight="1" x14ac:dyDescent="0.25">
      <c r="Q282" s="16"/>
    </row>
    <row r="283" spans="17:17" ht="15.75" customHeight="1" x14ac:dyDescent="0.25">
      <c r="Q283" s="16"/>
    </row>
    <row r="284" spans="17:17" ht="15.75" customHeight="1" x14ac:dyDescent="0.25">
      <c r="Q284" s="16"/>
    </row>
    <row r="285" spans="17:17" ht="15.75" customHeight="1" x14ac:dyDescent="0.25">
      <c r="Q285" s="16"/>
    </row>
    <row r="286" spans="17:17" ht="15.75" customHeight="1" x14ac:dyDescent="0.25">
      <c r="Q286" s="16"/>
    </row>
    <row r="287" spans="17:17" ht="15.75" customHeight="1" x14ac:dyDescent="0.25">
      <c r="Q287" s="16"/>
    </row>
    <row r="288" spans="17:17" ht="15.75" customHeight="1" x14ac:dyDescent="0.25">
      <c r="Q288" s="16"/>
    </row>
    <row r="289" spans="17:17" ht="15.75" customHeight="1" x14ac:dyDescent="0.25">
      <c r="Q289" s="16"/>
    </row>
    <row r="290" spans="17:17" ht="15.75" customHeight="1" x14ac:dyDescent="0.25">
      <c r="Q290" s="16"/>
    </row>
    <row r="291" spans="17:17" ht="15.75" customHeight="1" x14ac:dyDescent="0.25">
      <c r="Q291" s="16"/>
    </row>
    <row r="292" spans="17:17" ht="15.75" customHeight="1" x14ac:dyDescent="0.25">
      <c r="Q292" s="16"/>
    </row>
    <row r="293" spans="17:17" ht="15.75" customHeight="1" x14ac:dyDescent="0.25">
      <c r="Q293" s="16"/>
    </row>
    <row r="294" spans="17:17" ht="15.75" customHeight="1" x14ac:dyDescent="0.25">
      <c r="Q294" s="16"/>
    </row>
    <row r="295" spans="17:17" ht="15.75" customHeight="1" x14ac:dyDescent="0.25">
      <c r="Q295" s="16"/>
    </row>
    <row r="296" spans="17:17" ht="15.75" customHeight="1" x14ac:dyDescent="0.25">
      <c r="Q296" s="16"/>
    </row>
    <row r="297" spans="17:17" ht="15.75" customHeight="1" x14ac:dyDescent="0.25">
      <c r="Q297" s="16"/>
    </row>
    <row r="298" spans="17:17" ht="15.75" customHeight="1" x14ac:dyDescent="0.25">
      <c r="Q298" s="16"/>
    </row>
    <row r="299" spans="17:17" ht="15.75" customHeight="1" x14ac:dyDescent="0.25">
      <c r="Q299" s="16"/>
    </row>
    <row r="300" spans="17:17" ht="15.75" customHeight="1" x14ac:dyDescent="0.25">
      <c r="Q300" s="16"/>
    </row>
    <row r="301" spans="17:17" ht="15.75" customHeight="1" x14ac:dyDescent="0.25">
      <c r="Q301" s="16"/>
    </row>
    <row r="302" spans="17:17" ht="15.75" customHeight="1" x14ac:dyDescent="0.25">
      <c r="Q302" s="16"/>
    </row>
    <row r="303" spans="17:17" ht="15.75" customHeight="1" x14ac:dyDescent="0.25">
      <c r="Q303" s="16"/>
    </row>
    <row r="304" spans="17:17" ht="15.75" customHeight="1" x14ac:dyDescent="0.25">
      <c r="Q304" s="16"/>
    </row>
    <row r="305" spans="17:17" ht="15.75" customHeight="1" x14ac:dyDescent="0.25">
      <c r="Q305" s="16"/>
    </row>
    <row r="306" spans="17:17" ht="15.75" customHeight="1" x14ac:dyDescent="0.25">
      <c r="Q306" s="16"/>
    </row>
    <row r="307" spans="17:17" ht="15.75" customHeight="1" x14ac:dyDescent="0.25">
      <c r="Q307" s="16"/>
    </row>
    <row r="308" spans="17:17" ht="15.75" customHeight="1" x14ac:dyDescent="0.25">
      <c r="Q308" s="16"/>
    </row>
    <row r="309" spans="17:17" ht="15.75" customHeight="1" x14ac:dyDescent="0.25">
      <c r="Q309" s="16"/>
    </row>
    <row r="310" spans="17:17" ht="15.75" customHeight="1" x14ac:dyDescent="0.25">
      <c r="Q310" s="16"/>
    </row>
    <row r="311" spans="17:17" ht="15.75" customHeight="1" x14ac:dyDescent="0.25">
      <c r="Q311" s="16"/>
    </row>
    <row r="312" spans="17:17" ht="15.75" customHeight="1" x14ac:dyDescent="0.25">
      <c r="Q312" s="16"/>
    </row>
    <row r="313" spans="17:17" ht="15.75" customHeight="1" x14ac:dyDescent="0.25">
      <c r="Q313" s="16"/>
    </row>
    <row r="314" spans="17:17" ht="15.75" customHeight="1" x14ac:dyDescent="0.25">
      <c r="Q314" s="16"/>
    </row>
    <row r="315" spans="17:17" ht="15.75" customHeight="1" x14ac:dyDescent="0.25">
      <c r="Q315" s="16"/>
    </row>
    <row r="316" spans="17:17" ht="15.75" customHeight="1" x14ac:dyDescent="0.25">
      <c r="Q316" s="16"/>
    </row>
    <row r="317" spans="17:17" ht="15.75" customHeight="1" x14ac:dyDescent="0.25">
      <c r="Q317" s="16"/>
    </row>
    <row r="318" spans="17:17" ht="15.75" customHeight="1" x14ac:dyDescent="0.25">
      <c r="Q318" s="16"/>
    </row>
    <row r="319" spans="17:17" ht="15.75" customHeight="1" x14ac:dyDescent="0.25">
      <c r="Q319" s="16"/>
    </row>
    <row r="320" spans="17:17" ht="15.75" customHeight="1" x14ac:dyDescent="0.25">
      <c r="Q320" s="16"/>
    </row>
    <row r="321" spans="17:17" ht="15.75" customHeight="1" x14ac:dyDescent="0.25">
      <c r="Q321" s="16"/>
    </row>
    <row r="322" spans="17:17" ht="15.75" customHeight="1" x14ac:dyDescent="0.25">
      <c r="Q322" s="16"/>
    </row>
    <row r="323" spans="17:17" ht="15.75" customHeight="1" x14ac:dyDescent="0.25">
      <c r="Q323" s="16"/>
    </row>
    <row r="324" spans="17:17" ht="15.75" customHeight="1" x14ac:dyDescent="0.25">
      <c r="Q324" s="16"/>
    </row>
    <row r="325" spans="17:17" ht="15.75" customHeight="1" x14ac:dyDescent="0.25">
      <c r="Q325" s="16"/>
    </row>
    <row r="326" spans="17:17" ht="15.75" customHeight="1" x14ac:dyDescent="0.25">
      <c r="Q326" s="16"/>
    </row>
    <row r="327" spans="17:17" ht="15.75" customHeight="1" x14ac:dyDescent="0.25">
      <c r="Q327" s="16"/>
    </row>
    <row r="328" spans="17:17" ht="15.75" customHeight="1" x14ac:dyDescent="0.25">
      <c r="Q328" s="16"/>
    </row>
    <row r="329" spans="17:17" ht="15.75" customHeight="1" x14ac:dyDescent="0.25">
      <c r="Q329" s="16"/>
    </row>
    <row r="330" spans="17:17" ht="15.75" customHeight="1" x14ac:dyDescent="0.25">
      <c r="Q330" s="16"/>
    </row>
    <row r="331" spans="17:17" ht="15.75" customHeight="1" x14ac:dyDescent="0.25">
      <c r="Q331" s="16"/>
    </row>
    <row r="332" spans="17:17" ht="15.75" customHeight="1" x14ac:dyDescent="0.25">
      <c r="Q332" s="16"/>
    </row>
    <row r="333" spans="17:17" ht="15.75" customHeight="1" x14ac:dyDescent="0.25">
      <c r="Q333" s="16"/>
    </row>
    <row r="334" spans="17:17" ht="15.75" customHeight="1" x14ac:dyDescent="0.25">
      <c r="Q334" s="16"/>
    </row>
    <row r="335" spans="17:17" ht="15.75" customHeight="1" x14ac:dyDescent="0.25">
      <c r="Q335" s="16"/>
    </row>
    <row r="336" spans="17:17" ht="15.75" customHeight="1" x14ac:dyDescent="0.25">
      <c r="Q336" s="16"/>
    </row>
    <row r="337" spans="17:17" ht="15.75" customHeight="1" x14ac:dyDescent="0.25">
      <c r="Q337" s="16"/>
    </row>
    <row r="338" spans="17:17" ht="15.75" customHeight="1" x14ac:dyDescent="0.25">
      <c r="Q338" s="16"/>
    </row>
    <row r="339" spans="17:17" ht="15.75" customHeight="1" x14ac:dyDescent="0.25">
      <c r="Q339" s="16"/>
    </row>
    <row r="340" spans="17:17" ht="15.75" customHeight="1" x14ac:dyDescent="0.25">
      <c r="Q340" s="16"/>
    </row>
    <row r="341" spans="17:17" ht="15.75" customHeight="1" x14ac:dyDescent="0.25">
      <c r="Q341" s="16"/>
    </row>
    <row r="342" spans="17:17" ht="15.75" customHeight="1" x14ac:dyDescent="0.25">
      <c r="Q342" s="16"/>
    </row>
    <row r="343" spans="17:17" ht="15.75" customHeight="1" x14ac:dyDescent="0.25">
      <c r="Q343" s="16"/>
    </row>
    <row r="344" spans="17:17" ht="15.75" customHeight="1" x14ac:dyDescent="0.25">
      <c r="Q344" s="16"/>
    </row>
    <row r="345" spans="17:17" ht="15.75" customHeight="1" x14ac:dyDescent="0.25">
      <c r="Q345" s="16"/>
    </row>
    <row r="346" spans="17:17" ht="15.75" customHeight="1" x14ac:dyDescent="0.25">
      <c r="Q346" s="16"/>
    </row>
    <row r="347" spans="17:17" ht="15.75" customHeight="1" x14ac:dyDescent="0.25">
      <c r="Q347" s="16"/>
    </row>
    <row r="348" spans="17:17" ht="15.75" customHeight="1" x14ac:dyDescent="0.25">
      <c r="Q348" s="16"/>
    </row>
    <row r="349" spans="17:17" ht="15.75" customHeight="1" x14ac:dyDescent="0.25">
      <c r="Q349" s="16"/>
    </row>
    <row r="350" spans="17:17" ht="15.75" customHeight="1" x14ac:dyDescent="0.25">
      <c r="Q350" s="16"/>
    </row>
    <row r="351" spans="17:17" ht="15.75" customHeight="1" x14ac:dyDescent="0.25">
      <c r="Q351" s="16"/>
    </row>
    <row r="352" spans="17:17" ht="15.75" customHeight="1" x14ac:dyDescent="0.25">
      <c r="Q352" s="16"/>
    </row>
    <row r="353" spans="17:17" ht="15.75" customHeight="1" x14ac:dyDescent="0.25">
      <c r="Q353" s="16"/>
    </row>
    <row r="354" spans="17:17" ht="15.75" customHeight="1" x14ac:dyDescent="0.25">
      <c r="Q354" s="16"/>
    </row>
    <row r="355" spans="17:17" ht="15.75" customHeight="1" x14ac:dyDescent="0.25">
      <c r="Q355" s="16"/>
    </row>
    <row r="356" spans="17:17" ht="15.75" customHeight="1" x14ac:dyDescent="0.25">
      <c r="Q356" s="16"/>
    </row>
    <row r="357" spans="17:17" ht="15.75" customHeight="1" x14ac:dyDescent="0.25">
      <c r="Q357" s="16"/>
    </row>
    <row r="358" spans="17:17" ht="15.75" customHeight="1" x14ac:dyDescent="0.25">
      <c r="Q358" s="16"/>
    </row>
    <row r="359" spans="17:17" ht="15.75" customHeight="1" x14ac:dyDescent="0.25">
      <c r="Q359" s="16"/>
    </row>
    <row r="360" spans="17:17" ht="15.75" customHeight="1" x14ac:dyDescent="0.25">
      <c r="Q360" s="16"/>
    </row>
    <row r="361" spans="17:17" ht="15.75" customHeight="1" x14ac:dyDescent="0.25">
      <c r="Q361" s="16"/>
    </row>
    <row r="362" spans="17:17" ht="15.75" customHeight="1" x14ac:dyDescent="0.25">
      <c r="Q362" s="16"/>
    </row>
    <row r="363" spans="17:17" ht="15.75" customHeight="1" x14ac:dyDescent="0.25">
      <c r="Q363" s="16"/>
    </row>
    <row r="364" spans="17:17" ht="15.75" customHeight="1" x14ac:dyDescent="0.25">
      <c r="Q364" s="16"/>
    </row>
    <row r="365" spans="17:17" ht="15.75" customHeight="1" x14ac:dyDescent="0.25">
      <c r="Q365" s="16"/>
    </row>
    <row r="366" spans="17:17" ht="15.75" customHeight="1" x14ac:dyDescent="0.25">
      <c r="Q366" s="16"/>
    </row>
    <row r="367" spans="17:17" ht="15.75" customHeight="1" x14ac:dyDescent="0.25">
      <c r="Q367" s="16"/>
    </row>
    <row r="368" spans="17:17" ht="15.75" customHeight="1" x14ac:dyDescent="0.25">
      <c r="Q368" s="16"/>
    </row>
    <row r="369" spans="17:17" ht="15.75" customHeight="1" x14ac:dyDescent="0.25">
      <c r="Q369" s="16"/>
    </row>
    <row r="370" spans="17:17" ht="15.75" customHeight="1" x14ac:dyDescent="0.25">
      <c r="Q370" s="16"/>
    </row>
    <row r="371" spans="17:17" ht="15.75" customHeight="1" x14ac:dyDescent="0.25">
      <c r="Q371" s="16"/>
    </row>
    <row r="372" spans="17:17" ht="15.75" customHeight="1" x14ac:dyDescent="0.25">
      <c r="Q372" s="16"/>
    </row>
    <row r="373" spans="17:17" ht="15.75" customHeight="1" x14ac:dyDescent="0.25">
      <c r="Q373" s="16"/>
    </row>
    <row r="374" spans="17:17" ht="15.75" customHeight="1" x14ac:dyDescent="0.25">
      <c r="Q374" s="16"/>
    </row>
    <row r="375" spans="17:17" ht="15.75" customHeight="1" x14ac:dyDescent="0.25">
      <c r="Q375" s="16"/>
    </row>
    <row r="376" spans="17:17" ht="15.75" customHeight="1" x14ac:dyDescent="0.25">
      <c r="Q376" s="16"/>
    </row>
    <row r="377" spans="17:17" ht="15.75" customHeight="1" x14ac:dyDescent="0.25">
      <c r="Q377" s="16"/>
    </row>
    <row r="378" spans="17:17" ht="15.75" customHeight="1" x14ac:dyDescent="0.25">
      <c r="Q378" s="16"/>
    </row>
    <row r="379" spans="17:17" ht="15.75" customHeight="1" x14ac:dyDescent="0.25">
      <c r="Q379" s="16"/>
    </row>
    <row r="380" spans="17:17" ht="15.75" customHeight="1" x14ac:dyDescent="0.25">
      <c r="Q380" s="16"/>
    </row>
    <row r="381" spans="17:17" ht="15.75" customHeight="1" x14ac:dyDescent="0.25">
      <c r="Q381" s="16"/>
    </row>
    <row r="382" spans="17:17" ht="15.75" customHeight="1" x14ac:dyDescent="0.25">
      <c r="Q382" s="16"/>
    </row>
    <row r="383" spans="17:17" ht="15.75" customHeight="1" x14ac:dyDescent="0.25">
      <c r="Q383" s="16"/>
    </row>
    <row r="384" spans="17:17" ht="15.75" customHeight="1" x14ac:dyDescent="0.25">
      <c r="Q384" s="16"/>
    </row>
    <row r="385" spans="17:17" ht="15.75" customHeight="1" x14ac:dyDescent="0.25">
      <c r="Q385" s="16"/>
    </row>
    <row r="386" spans="17:17" ht="15.75" customHeight="1" x14ac:dyDescent="0.25">
      <c r="Q386" s="16"/>
    </row>
    <row r="387" spans="17:17" ht="15.75" customHeight="1" x14ac:dyDescent="0.25">
      <c r="Q387" s="16"/>
    </row>
    <row r="388" spans="17:17" ht="15.75" customHeight="1" x14ac:dyDescent="0.25">
      <c r="Q388" s="16"/>
    </row>
    <row r="389" spans="17:17" ht="15.75" customHeight="1" x14ac:dyDescent="0.25">
      <c r="Q389" s="16"/>
    </row>
    <row r="390" spans="17:17" ht="15.75" customHeight="1" x14ac:dyDescent="0.25">
      <c r="Q390" s="16"/>
    </row>
    <row r="391" spans="17:17" ht="15.75" customHeight="1" x14ac:dyDescent="0.25">
      <c r="Q391" s="16"/>
    </row>
    <row r="392" spans="17:17" ht="15.75" customHeight="1" x14ac:dyDescent="0.25">
      <c r="Q392" s="16"/>
    </row>
    <row r="393" spans="17:17" ht="15.75" customHeight="1" x14ac:dyDescent="0.25">
      <c r="Q393" s="16"/>
    </row>
    <row r="394" spans="17:17" ht="15.75" customHeight="1" x14ac:dyDescent="0.25">
      <c r="Q394" s="16"/>
    </row>
    <row r="395" spans="17:17" ht="15.75" customHeight="1" x14ac:dyDescent="0.25">
      <c r="Q395" s="16"/>
    </row>
    <row r="396" spans="17:17" ht="15.75" customHeight="1" x14ac:dyDescent="0.25">
      <c r="Q396" s="16"/>
    </row>
    <row r="397" spans="17:17" ht="15.75" customHeight="1" x14ac:dyDescent="0.25">
      <c r="Q397" s="16"/>
    </row>
    <row r="398" spans="17:17" ht="15.75" customHeight="1" x14ac:dyDescent="0.25">
      <c r="Q398" s="16"/>
    </row>
    <row r="399" spans="17:17" ht="15.75" customHeight="1" x14ac:dyDescent="0.25">
      <c r="Q399" s="16"/>
    </row>
    <row r="400" spans="17:17" ht="15.75" customHeight="1" x14ac:dyDescent="0.25">
      <c r="Q400" s="16"/>
    </row>
    <row r="401" spans="17:17" ht="15.75" customHeight="1" x14ac:dyDescent="0.25">
      <c r="Q401" s="16"/>
    </row>
    <row r="402" spans="17:17" ht="15.75" customHeight="1" x14ac:dyDescent="0.25">
      <c r="Q402" s="16"/>
    </row>
    <row r="403" spans="17:17" ht="15.75" customHeight="1" x14ac:dyDescent="0.25">
      <c r="Q403" s="16"/>
    </row>
    <row r="404" spans="17:17" ht="15.75" customHeight="1" x14ac:dyDescent="0.25">
      <c r="Q404" s="16"/>
    </row>
    <row r="405" spans="17:17" ht="15.75" customHeight="1" x14ac:dyDescent="0.25">
      <c r="Q405" s="16"/>
    </row>
    <row r="406" spans="17:17" ht="15.75" customHeight="1" x14ac:dyDescent="0.25">
      <c r="Q406" s="16"/>
    </row>
    <row r="407" spans="17:17" ht="15.75" customHeight="1" x14ac:dyDescent="0.25">
      <c r="Q407" s="16"/>
    </row>
    <row r="408" spans="17:17" ht="15.75" customHeight="1" x14ac:dyDescent="0.25">
      <c r="Q408" s="16"/>
    </row>
    <row r="409" spans="17:17" ht="15.75" customHeight="1" x14ac:dyDescent="0.25">
      <c r="Q409" s="16"/>
    </row>
    <row r="410" spans="17:17" ht="15.75" customHeight="1" x14ac:dyDescent="0.25">
      <c r="Q410" s="16"/>
    </row>
    <row r="411" spans="17:17" ht="15.75" customHeight="1" x14ac:dyDescent="0.25">
      <c r="Q411" s="16"/>
    </row>
    <row r="412" spans="17:17" ht="15.75" customHeight="1" x14ac:dyDescent="0.25">
      <c r="Q412" s="16"/>
    </row>
    <row r="413" spans="17:17" ht="15.75" customHeight="1" x14ac:dyDescent="0.25">
      <c r="Q413" s="16"/>
    </row>
    <row r="414" spans="17:17" ht="15.75" customHeight="1" x14ac:dyDescent="0.25">
      <c r="Q414" s="16"/>
    </row>
    <row r="415" spans="17:17" ht="15.75" customHeight="1" x14ac:dyDescent="0.25">
      <c r="Q415" s="16"/>
    </row>
    <row r="416" spans="17:17" ht="15.75" customHeight="1" x14ac:dyDescent="0.25">
      <c r="Q416" s="16"/>
    </row>
    <row r="417" spans="17:17" ht="15.75" customHeight="1" x14ac:dyDescent="0.25">
      <c r="Q417" s="16"/>
    </row>
    <row r="418" spans="17:17" ht="15.75" customHeight="1" x14ac:dyDescent="0.25">
      <c r="Q418" s="16"/>
    </row>
    <row r="419" spans="17:17" ht="15.75" customHeight="1" x14ac:dyDescent="0.25">
      <c r="Q419" s="16"/>
    </row>
    <row r="420" spans="17:17" ht="15.75" customHeight="1" x14ac:dyDescent="0.25">
      <c r="Q420" s="16"/>
    </row>
    <row r="421" spans="17:17" ht="15.75" customHeight="1" x14ac:dyDescent="0.25">
      <c r="Q421" s="16"/>
    </row>
    <row r="422" spans="17:17" ht="15.75" customHeight="1" x14ac:dyDescent="0.25">
      <c r="Q422" s="16"/>
    </row>
    <row r="423" spans="17:17" ht="15.75" customHeight="1" x14ac:dyDescent="0.25">
      <c r="Q423" s="16"/>
    </row>
    <row r="424" spans="17:17" ht="15.75" customHeight="1" x14ac:dyDescent="0.25">
      <c r="Q424" s="16"/>
    </row>
    <row r="425" spans="17:17" ht="15.75" customHeight="1" x14ac:dyDescent="0.25">
      <c r="Q425" s="16"/>
    </row>
    <row r="426" spans="17:17" ht="15.75" customHeight="1" x14ac:dyDescent="0.25">
      <c r="Q426" s="16"/>
    </row>
    <row r="427" spans="17:17" ht="15.75" customHeight="1" x14ac:dyDescent="0.25">
      <c r="Q427" s="16"/>
    </row>
    <row r="428" spans="17:17" ht="15.75" customHeight="1" x14ac:dyDescent="0.25">
      <c r="Q428" s="16"/>
    </row>
    <row r="429" spans="17:17" ht="15.75" customHeight="1" x14ac:dyDescent="0.25">
      <c r="Q429" s="16"/>
    </row>
    <row r="430" spans="17:17" ht="15.75" customHeight="1" x14ac:dyDescent="0.25">
      <c r="Q430" s="16"/>
    </row>
    <row r="431" spans="17:17" ht="15.75" customHeight="1" x14ac:dyDescent="0.25">
      <c r="Q431" s="16"/>
    </row>
    <row r="432" spans="17:17" ht="15.75" customHeight="1" x14ac:dyDescent="0.25">
      <c r="Q432" s="16"/>
    </row>
    <row r="433" spans="17:17" ht="15.75" customHeight="1" x14ac:dyDescent="0.25">
      <c r="Q433" s="16"/>
    </row>
    <row r="434" spans="17:17" ht="15.75" customHeight="1" x14ac:dyDescent="0.25">
      <c r="Q434" s="16"/>
    </row>
    <row r="435" spans="17:17" ht="15.75" customHeight="1" x14ac:dyDescent="0.25">
      <c r="Q435" s="16"/>
    </row>
    <row r="436" spans="17:17" ht="15.75" customHeight="1" x14ac:dyDescent="0.25">
      <c r="Q436" s="16"/>
    </row>
    <row r="437" spans="17:17" ht="15.75" customHeight="1" x14ac:dyDescent="0.25">
      <c r="Q437" s="16"/>
    </row>
    <row r="438" spans="17:17" ht="15.75" customHeight="1" x14ac:dyDescent="0.25">
      <c r="Q438" s="16"/>
    </row>
    <row r="439" spans="17:17" ht="15.75" customHeight="1" x14ac:dyDescent="0.25">
      <c r="Q439" s="16"/>
    </row>
    <row r="440" spans="17:17" ht="15.75" customHeight="1" x14ac:dyDescent="0.25">
      <c r="Q440" s="16"/>
    </row>
    <row r="441" spans="17:17" ht="15.75" customHeight="1" x14ac:dyDescent="0.25">
      <c r="Q441" s="16"/>
    </row>
    <row r="442" spans="17:17" ht="15.75" customHeight="1" x14ac:dyDescent="0.25">
      <c r="Q442" s="16"/>
    </row>
    <row r="443" spans="17:17" ht="15.75" customHeight="1" x14ac:dyDescent="0.25">
      <c r="Q443" s="16"/>
    </row>
    <row r="444" spans="17:17" ht="15.75" customHeight="1" x14ac:dyDescent="0.25">
      <c r="Q444" s="16"/>
    </row>
    <row r="445" spans="17:17" ht="15.75" customHeight="1" x14ac:dyDescent="0.25">
      <c r="Q445" s="16"/>
    </row>
    <row r="446" spans="17:17" ht="15.75" customHeight="1" x14ac:dyDescent="0.25">
      <c r="Q446" s="16"/>
    </row>
    <row r="447" spans="17:17" ht="15.75" customHeight="1" x14ac:dyDescent="0.25">
      <c r="Q447" s="16"/>
    </row>
    <row r="448" spans="17:17" ht="15.75" customHeight="1" x14ac:dyDescent="0.25">
      <c r="Q448" s="16"/>
    </row>
    <row r="449" spans="17:17" ht="15.75" customHeight="1" x14ac:dyDescent="0.25">
      <c r="Q449" s="16"/>
    </row>
    <row r="450" spans="17:17" ht="15.75" customHeight="1" x14ac:dyDescent="0.25">
      <c r="Q450" s="16"/>
    </row>
    <row r="451" spans="17:17" ht="15.75" customHeight="1" x14ac:dyDescent="0.25">
      <c r="Q451" s="16"/>
    </row>
    <row r="452" spans="17:17" ht="15.75" customHeight="1" x14ac:dyDescent="0.25">
      <c r="Q452" s="16"/>
    </row>
    <row r="453" spans="17:17" ht="15.75" customHeight="1" x14ac:dyDescent="0.25">
      <c r="Q453" s="16"/>
    </row>
    <row r="454" spans="17:17" ht="15.75" customHeight="1" x14ac:dyDescent="0.25">
      <c r="Q454" s="16"/>
    </row>
    <row r="455" spans="17:17" ht="15.75" customHeight="1" x14ac:dyDescent="0.25">
      <c r="Q455" s="16"/>
    </row>
    <row r="456" spans="17:17" ht="15.75" customHeight="1" x14ac:dyDescent="0.25">
      <c r="Q456" s="16"/>
    </row>
    <row r="457" spans="17:17" ht="15.75" customHeight="1" x14ac:dyDescent="0.25">
      <c r="Q457" s="16"/>
    </row>
    <row r="458" spans="17:17" ht="15.75" customHeight="1" x14ac:dyDescent="0.25">
      <c r="Q458" s="16"/>
    </row>
    <row r="459" spans="17:17" ht="15.75" customHeight="1" x14ac:dyDescent="0.25">
      <c r="Q459" s="16"/>
    </row>
    <row r="460" spans="17:17" ht="15.75" customHeight="1" x14ac:dyDescent="0.25">
      <c r="Q460" s="16"/>
    </row>
    <row r="461" spans="17:17" ht="15.75" customHeight="1" x14ac:dyDescent="0.25">
      <c r="Q461" s="16"/>
    </row>
    <row r="462" spans="17:17" ht="15.75" customHeight="1" x14ac:dyDescent="0.25">
      <c r="Q462" s="16"/>
    </row>
    <row r="463" spans="17:17" ht="15.75" customHeight="1" x14ac:dyDescent="0.25">
      <c r="Q463" s="16"/>
    </row>
    <row r="464" spans="17:17" ht="15.75" customHeight="1" x14ac:dyDescent="0.25">
      <c r="Q464" s="16"/>
    </row>
    <row r="465" spans="17:17" ht="15.75" customHeight="1" x14ac:dyDescent="0.25">
      <c r="Q465" s="16"/>
    </row>
    <row r="466" spans="17:17" ht="15.75" customHeight="1" x14ac:dyDescent="0.25">
      <c r="Q466" s="16"/>
    </row>
    <row r="467" spans="17:17" ht="15.75" customHeight="1" x14ac:dyDescent="0.25">
      <c r="Q467" s="16"/>
    </row>
    <row r="468" spans="17:17" ht="15.75" customHeight="1" x14ac:dyDescent="0.25">
      <c r="Q468" s="16"/>
    </row>
    <row r="469" spans="17:17" ht="15.75" customHeight="1" x14ac:dyDescent="0.25">
      <c r="Q469" s="16"/>
    </row>
    <row r="470" spans="17:17" ht="15.75" customHeight="1" x14ac:dyDescent="0.25">
      <c r="Q470" s="16"/>
    </row>
    <row r="471" spans="17:17" ht="15.75" customHeight="1" x14ac:dyDescent="0.25">
      <c r="Q471" s="16"/>
    </row>
    <row r="472" spans="17:17" ht="15.75" customHeight="1" x14ac:dyDescent="0.25">
      <c r="Q472" s="16"/>
    </row>
    <row r="473" spans="17:17" ht="15.75" customHeight="1" x14ac:dyDescent="0.25">
      <c r="Q473" s="16"/>
    </row>
    <row r="474" spans="17:17" ht="15.75" customHeight="1" x14ac:dyDescent="0.25">
      <c r="Q474" s="16"/>
    </row>
    <row r="475" spans="17:17" ht="15.75" customHeight="1" x14ac:dyDescent="0.25">
      <c r="Q475" s="16"/>
    </row>
    <row r="476" spans="17:17" ht="15.75" customHeight="1" x14ac:dyDescent="0.25">
      <c r="Q476" s="16"/>
    </row>
    <row r="477" spans="17:17" ht="15.75" customHeight="1" x14ac:dyDescent="0.25">
      <c r="Q477" s="16"/>
    </row>
    <row r="478" spans="17:17" ht="15.75" customHeight="1" x14ac:dyDescent="0.25">
      <c r="Q478" s="16"/>
    </row>
    <row r="479" spans="17:17" ht="15.75" customHeight="1" x14ac:dyDescent="0.25">
      <c r="Q479" s="16"/>
    </row>
    <row r="480" spans="17:17" ht="15.75" customHeight="1" x14ac:dyDescent="0.25">
      <c r="Q480" s="16"/>
    </row>
    <row r="481" spans="17:17" ht="15.75" customHeight="1" x14ac:dyDescent="0.25">
      <c r="Q481" s="16"/>
    </row>
    <row r="482" spans="17:17" ht="15.75" customHeight="1" x14ac:dyDescent="0.25">
      <c r="Q482" s="16"/>
    </row>
    <row r="483" spans="17:17" ht="15.75" customHeight="1" x14ac:dyDescent="0.25">
      <c r="Q483" s="16"/>
    </row>
    <row r="484" spans="17:17" ht="15.75" customHeight="1" x14ac:dyDescent="0.25">
      <c r="Q484" s="16"/>
    </row>
    <row r="485" spans="17:17" ht="15.75" customHeight="1" x14ac:dyDescent="0.25">
      <c r="Q485" s="16"/>
    </row>
    <row r="486" spans="17:17" ht="15.75" customHeight="1" x14ac:dyDescent="0.25">
      <c r="Q486" s="16"/>
    </row>
    <row r="487" spans="17:17" ht="15.75" customHeight="1" x14ac:dyDescent="0.25">
      <c r="Q487" s="16"/>
    </row>
    <row r="488" spans="17:17" ht="15.75" customHeight="1" x14ac:dyDescent="0.25">
      <c r="Q488" s="16"/>
    </row>
    <row r="489" spans="17:17" ht="15.75" customHeight="1" x14ac:dyDescent="0.25">
      <c r="Q489" s="16"/>
    </row>
    <row r="490" spans="17:17" ht="15.75" customHeight="1" x14ac:dyDescent="0.25">
      <c r="Q490" s="16"/>
    </row>
    <row r="491" spans="17:17" ht="15.75" customHeight="1" x14ac:dyDescent="0.25">
      <c r="Q491" s="16"/>
    </row>
    <row r="492" spans="17:17" ht="15.75" customHeight="1" x14ac:dyDescent="0.25">
      <c r="Q492" s="16"/>
    </row>
    <row r="493" spans="17:17" ht="15.75" customHeight="1" x14ac:dyDescent="0.25">
      <c r="Q493" s="16"/>
    </row>
    <row r="494" spans="17:17" ht="15.75" customHeight="1" x14ac:dyDescent="0.25">
      <c r="Q494" s="16"/>
    </row>
    <row r="495" spans="17:17" ht="15.75" customHeight="1" x14ac:dyDescent="0.25">
      <c r="Q495" s="16"/>
    </row>
    <row r="496" spans="17:17" ht="15.75" customHeight="1" x14ac:dyDescent="0.25">
      <c r="Q496" s="16"/>
    </row>
    <row r="497" spans="17:17" ht="15.75" customHeight="1" x14ac:dyDescent="0.25">
      <c r="Q497" s="16"/>
    </row>
    <row r="498" spans="17:17" ht="15.75" customHeight="1" x14ac:dyDescent="0.25">
      <c r="Q498" s="16"/>
    </row>
    <row r="499" spans="17:17" ht="15.75" customHeight="1" x14ac:dyDescent="0.25">
      <c r="Q499" s="16"/>
    </row>
    <row r="500" spans="17:17" ht="15.75" customHeight="1" x14ac:dyDescent="0.25">
      <c r="Q500" s="16"/>
    </row>
    <row r="501" spans="17:17" ht="15.75" customHeight="1" x14ac:dyDescent="0.25">
      <c r="Q501" s="16"/>
    </row>
    <row r="502" spans="17:17" ht="15.75" customHeight="1" x14ac:dyDescent="0.25">
      <c r="Q502" s="16"/>
    </row>
    <row r="503" spans="17:17" ht="15.75" customHeight="1" x14ac:dyDescent="0.25">
      <c r="Q503" s="16"/>
    </row>
    <row r="504" spans="17:17" ht="15.75" customHeight="1" x14ac:dyDescent="0.25">
      <c r="Q504" s="16"/>
    </row>
    <row r="505" spans="17:17" ht="15.75" customHeight="1" x14ac:dyDescent="0.25">
      <c r="Q505" s="16"/>
    </row>
    <row r="506" spans="17:17" ht="15.75" customHeight="1" x14ac:dyDescent="0.25">
      <c r="Q506" s="16"/>
    </row>
    <row r="507" spans="17:17" ht="15.75" customHeight="1" x14ac:dyDescent="0.25">
      <c r="Q507" s="16"/>
    </row>
    <row r="508" spans="17:17" ht="15.75" customHeight="1" x14ac:dyDescent="0.25">
      <c r="Q508" s="16"/>
    </row>
    <row r="509" spans="17:17" ht="15.75" customHeight="1" x14ac:dyDescent="0.25">
      <c r="Q509" s="16"/>
    </row>
    <row r="510" spans="17:17" ht="15.75" customHeight="1" x14ac:dyDescent="0.25">
      <c r="Q510" s="16"/>
    </row>
    <row r="511" spans="17:17" ht="15.75" customHeight="1" x14ac:dyDescent="0.25">
      <c r="Q511" s="16"/>
    </row>
    <row r="512" spans="17:17" ht="15.75" customHeight="1" x14ac:dyDescent="0.25">
      <c r="Q512" s="16"/>
    </row>
    <row r="513" spans="17:17" ht="15.75" customHeight="1" x14ac:dyDescent="0.25">
      <c r="Q513" s="16"/>
    </row>
    <row r="514" spans="17:17" ht="15.75" customHeight="1" x14ac:dyDescent="0.25">
      <c r="Q514" s="16"/>
    </row>
    <row r="515" spans="17:17" ht="15.75" customHeight="1" x14ac:dyDescent="0.25">
      <c r="Q515" s="16"/>
    </row>
    <row r="516" spans="17:17" ht="15.75" customHeight="1" x14ac:dyDescent="0.25">
      <c r="Q516" s="16"/>
    </row>
    <row r="517" spans="17:17" ht="15.75" customHeight="1" x14ac:dyDescent="0.25">
      <c r="Q517" s="16"/>
    </row>
    <row r="518" spans="17:17" ht="15.75" customHeight="1" x14ac:dyDescent="0.25">
      <c r="Q518" s="16"/>
    </row>
    <row r="519" spans="17:17" ht="15.75" customHeight="1" x14ac:dyDescent="0.25">
      <c r="Q519" s="16"/>
    </row>
    <row r="520" spans="17:17" ht="15.75" customHeight="1" x14ac:dyDescent="0.25">
      <c r="Q520" s="16"/>
    </row>
    <row r="521" spans="17:17" ht="15.75" customHeight="1" x14ac:dyDescent="0.25">
      <c r="Q521" s="16"/>
    </row>
    <row r="522" spans="17:17" ht="15.75" customHeight="1" x14ac:dyDescent="0.25">
      <c r="Q522" s="16"/>
    </row>
    <row r="523" spans="17:17" ht="15.75" customHeight="1" x14ac:dyDescent="0.25">
      <c r="Q523" s="16"/>
    </row>
    <row r="524" spans="17:17" ht="15.75" customHeight="1" x14ac:dyDescent="0.25">
      <c r="Q524" s="16"/>
    </row>
    <row r="525" spans="17:17" ht="15.75" customHeight="1" x14ac:dyDescent="0.25">
      <c r="Q525" s="16"/>
    </row>
    <row r="526" spans="17:17" ht="15.75" customHeight="1" x14ac:dyDescent="0.25">
      <c r="Q526" s="16"/>
    </row>
    <row r="527" spans="17:17" ht="15.75" customHeight="1" x14ac:dyDescent="0.25">
      <c r="Q527" s="16"/>
    </row>
    <row r="528" spans="17:17" ht="15.75" customHeight="1" x14ac:dyDescent="0.25">
      <c r="Q528" s="16"/>
    </row>
    <row r="529" spans="17:17" ht="15.75" customHeight="1" x14ac:dyDescent="0.25">
      <c r="Q529" s="16"/>
    </row>
    <row r="530" spans="17:17" ht="15.75" customHeight="1" x14ac:dyDescent="0.25">
      <c r="Q530" s="16"/>
    </row>
    <row r="531" spans="17:17" ht="15.75" customHeight="1" x14ac:dyDescent="0.25">
      <c r="Q531" s="16"/>
    </row>
    <row r="532" spans="17:17" ht="15.75" customHeight="1" x14ac:dyDescent="0.25">
      <c r="Q532" s="16"/>
    </row>
    <row r="533" spans="17:17" ht="15.75" customHeight="1" x14ac:dyDescent="0.25">
      <c r="Q533" s="16"/>
    </row>
    <row r="534" spans="17:17" ht="15.75" customHeight="1" x14ac:dyDescent="0.25">
      <c r="Q534" s="16"/>
    </row>
    <row r="535" spans="17:17" ht="15.75" customHeight="1" x14ac:dyDescent="0.25">
      <c r="Q535" s="16"/>
    </row>
    <row r="536" spans="17:17" ht="15.75" customHeight="1" x14ac:dyDescent="0.25">
      <c r="Q536" s="16"/>
    </row>
    <row r="537" spans="17:17" ht="15.75" customHeight="1" x14ac:dyDescent="0.25">
      <c r="Q537" s="16"/>
    </row>
    <row r="538" spans="17:17" ht="15.75" customHeight="1" x14ac:dyDescent="0.25">
      <c r="Q538" s="16"/>
    </row>
    <row r="539" spans="17:17" ht="15.75" customHeight="1" x14ac:dyDescent="0.25">
      <c r="Q539" s="16"/>
    </row>
    <row r="540" spans="17:17" ht="15.75" customHeight="1" x14ac:dyDescent="0.25">
      <c r="Q540" s="16"/>
    </row>
    <row r="541" spans="17:17" ht="15.75" customHeight="1" x14ac:dyDescent="0.25">
      <c r="Q541" s="16"/>
    </row>
    <row r="542" spans="17:17" ht="15.75" customHeight="1" x14ac:dyDescent="0.25">
      <c r="Q542" s="16"/>
    </row>
    <row r="543" spans="17:17" ht="15.75" customHeight="1" x14ac:dyDescent="0.25">
      <c r="Q543" s="16"/>
    </row>
    <row r="544" spans="17:17" ht="15.75" customHeight="1" x14ac:dyDescent="0.25">
      <c r="Q544" s="16"/>
    </row>
    <row r="545" spans="17:17" ht="15.75" customHeight="1" x14ac:dyDescent="0.25">
      <c r="Q545" s="16"/>
    </row>
    <row r="546" spans="17:17" ht="15.75" customHeight="1" x14ac:dyDescent="0.25">
      <c r="Q546" s="16"/>
    </row>
    <row r="547" spans="17:17" ht="15.75" customHeight="1" x14ac:dyDescent="0.25">
      <c r="Q547" s="16"/>
    </row>
    <row r="548" spans="17:17" ht="15.75" customHeight="1" x14ac:dyDescent="0.25">
      <c r="Q548" s="16"/>
    </row>
    <row r="549" spans="17:17" ht="15.75" customHeight="1" x14ac:dyDescent="0.25">
      <c r="Q549" s="16"/>
    </row>
    <row r="550" spans="17:17" ht="15.75" customHeight="1" x14ac:dyDescent="0.25">
      <c r="Q550" s="16"/>
    </row>
    <row r="551" spans="17:17" ht="15.75" customHeight="1" x14ac:dyDescent="0.25">
      <c r="Q551" s="16"/>
    </row>
    <row r="552" spans="17:17" ht="15.75" customHeight="1" x14ac:dyDescent="0.25">
      <c r="Q552" s="16"/>
    </row>
    <row r="553" spans="17:17" ht="15.75" customHeight="1" x14ac:dyDescent="0.25">
      <c r="Q553" s="16"/>
    </row>
    <row r="554" spans="17:17" ht="15.75" customHeight="1" x14ac:dyDescent="0.25">
      <c r="Q554" s="16"/>
    </row>
    <row r="555" spans="17:17" ht="15.75" customHeight="1" x14ac:dyDescent="0.25">
      <c r="Q555" s="16"/>
    </row>
    <row r="556" spans="17:17" ht="15.75" customHeight="1" x14ac:dyDescent="0.25">
      <c r="Q556" s="16"/>
    </row>
    <row r="557" spans="17:17" ht="15.75" customHeight="1" x14ac:dyDescent="0.25">
      <c r="Q557" s="16"/>
    </row>
    <row r="558" spans="17:17" ht="15.75" customHeight="1" x14ac:dyDescent="0.25">
      <c r="Q558" s="16"/>
    </row>
    <row r="559" spans="17:17" ht="15.75" customHeight="1" x14ac:dyDescent="0.25">
      <c r="Q559" s="16"/>
    </row>
    <row r="560" spans="17:17" ht="15.75" customHeight="1" x14ac:dyDescent="0.25">
      <c r="Q560" s="16"/>
    </row>
    <row r="561" spans="17:17" ht="15.75" customHeight="1" x14ac:dyDescent="0.25">
      <c r="Q561" s="16"/>
    </row>
    <row r="562" spans="17:17" ht="15.75" customHeight="1" x14ac:dyDescent="0.25">
      <c r="Q562" s="16"/>
    </row>
    <row r="563" spans="17:17" ht="15.75" customHeight="1" x14ac:dyDescent="0.25">
      <c r="Q563" s="16"/>
    </row>
    <row r="564" spans="17:17" ht="15.75" customHeight="1" x14ac:dyDescent="0.25">
      <c r="Q564" s="16"/>
    </row>
    <row r="565" spans="17:17" ht="15.75" customHeight="1" x14ac:dyDescent="0.25">
      <c r="Q565" s="16"/>
    </row>
    <row r="566" spans="17:17" ht="15.75" customHeight="1" x14ac:dyDescent="0.25">
      <c r="Q566" s="16"/>
    </row>
    <row r="567" spans="17:17" ht="15.75" customHeight="1" x14ac:dyDescent="0.25">
      <c r="Q567" s="16"/>
    </row>
    <row r="568" spans="17:17" ht="15.75" customHeight="1" x14ac:dyDescent="0.25">
      <c r="Q568" s="16"/>
    </row>
    <row r="569" spans="17:17" ht="15.75" customHeight="1" x14ac:dyDescent="0.25">
      <c r="Q569" s="16"/>
    </row>
    <row r="570" spans="17:17" ht="15.75" customHeight="1" x14ac:dyDescent="0.25">
      <c r="Q570" s="16"/>
    </row>
    <row r="571" spans="17:17" ht="15.75" customHeight="1" x14ac:dyDescent="0.25">
      <c r="Q571" s="16"/>
    </row>
    <row r="572" spans="17:17" ht="15.75" customHeight="1" x14ac:dyDescent="0.25">
      <c r="Q572" s="16"/>
    </row>
    <row r="573" spans="17:17" ht="15.75" customHeight="1" x14ac:dyDescent="0.25">
      <c r="Q573" s="16"/>
    </row>
    <row r="574" spans="17:17" ht="15.75" customHeight="1" x14ac:dyDescent="0.25">
      <c r="Q574" s="16"/>
    </row>
    <row r="575" spans="17:17" ht="15.75" customHeight="1" x14ac:dyDescent="0.25">
      <c r="Q575" s="16"/>
    </row>
    <row r="576" spans="17:17" ht="15.75" customHeight="1" x14ac:dyDescent="0.25">
      <c r="Q576" s="16"/>
    </row>
    <row r="577" spans="17:17" ht="15.75" customHeight="1" x14ac:dyDescent="0.25">
      <c r="Q577" s="16"/>
    </row>
    <row r="578" spans="17:17" ht="15.75" customHeight="1" x14ac:dyDescent="0.25">
      <c r="Q578" s="16"/>
    </row>
    <row r="579" spans="17:17" ht="15.75" customHeight="1" x14ac:dyDescent="0.25">
      <c r="Q579" s="16"/>
    </row>
    <row r="580" spans="17:17" ht="15.75" customHeight="1" x14ac:dyDescent="0.25">
      <c r="Q580" s="16"/>
    </row>
    <row r="581" spans="17:17" ht="15.75" customHeight="1" x14ac:dyDescent="0.25">
      <c r="Q581" s="16"/>
    </row>
    <row r="582" spans="17:17" ht="15.75" customHeight="1" x14ac:dyDescent="0.25">
      <c r="Q582" s="16"/>
    </row>
    <row r="583" spans="17:17" ht="15.75" customHeight="1" x14ac:dyDescent="0.25">
      <c r="Q583" s="16"/>
    </row>
    <row r="584" spans="17:17" ht="15.75" customHeight="1" x14ac:dyDescent="0.25">
      <c r="Q584" s="16"/>
    </row>
    <row r="585" spans="17:17" ht="15.75" customHeight="1" x14ac:dyDescent="0.25">
      <c r="Q585" s="16"/>
    </row>
    <row r="586" spans="17:17" ht="15.75" customHeight="1" x14ac:dyDescent="0.25">
      <c r="Q586" s="16"/>
    </row>
    <row r="587" spans="17:17" ht="15.75" customHeight="1" x14ac:dyDescent="0.25">
      <c r="Q587" s="16"/>
    </row>
    <row r="588" spans="17:17" ht="15.75" customHeight="1" x14ac:dyDescent="0.25">
      <c r="Q588" s="16"/>
    </row>
    <row r="589" spans="17:17" ht="15.75" customHeight="1" x14ac:dyDescent="0.25">
      <c r="Q589" s="16"/>
    </row>
    <row r="590" spans="17:17" ht="15.75" customHeight="1" x14ac:dyDescent="0.25">
      <c r="Q590" s="16"/>
    </row>
    <row r="591" spans="17:17" ht="15.75" customHeight="1" x14ac:dyDescent="0.25">
      <c r="Q591" s="16"/>
    </row>
    <row r="592" spans="17:17" ht="15.75" customHeight="1" x14ac:dyDescent="0.25">
      <c r="Q592" s="16"/>
    </row>
    <row r="593" spans="17:17" ht="15.75" customHeight="1" x14ac:dyDescent="0.25">
      <c r="Q593" s="16"/>
    </row>
    <row r="594" spans="17:17" ht="15.75" customHeight="1" x14ac:dyDescent="0.25">
      <c r="Q594" s="16"/>
    </row>
    <row r="595" spans="17:17" ht="15.75" customHeight="1" x14ac:dyDescent="0.25">
      <c r="Q595" s="16"/>
    </row>
    <row r="596" spans="17:17" ht="15.75" customHeight="1" x14ac:dyDescent="0.25">
      <c r="Q596" s="16"/>
    </row>
    <row r="597" spans="17:17" ht="15.75" customHeight="1" x14ac:dyDescent="0.25">
      <c r="Q597" s="16"/>
    </row>
    <row r="598" spans="17:17" ht="15.75" customHeight="1" x14ac:dyDescent="0.25">
      <c r="Q598" s="16"/>
    </row>
    <row r="599" spans="17:17" ht="15.75" customHeight="1" x14ac:dyDescent="0.25">
      <c r="Q599" s="16"/>
    </row>
    <row r="600" spans="17:17" ht="15.75" customHeight="1" x14ac:dyDescent="0.25">
      <c r="Q600" s="16"/>
    </row>
    <row r="601" spans="17:17" ht="15.75" customHeight="1" x14ac:dyDescent="0.25">
      <c r="Q601" s="16"/>
    </row>
    <row r="602" spans="17:17" ht="15.75" customHeight="1" x14ac:dyDescent="0.25">
      <c r="Q602" s="16"/>
    </row>
    <row r="603" spans="17:17" ht="15.75" customHeight="1" x14ac:dyDescent="0.25">
      <c r="Q603" s="16"/>
    </row>
    <row r="604" spans="17:17" ht="15.75" customHeight="1" x14ac:dyDescent="0.25">
      <c r="Q604" s="16"/>
    </row>
    <row r="605" spans="17:17" ht="15.75" customHeight="1" x14ac:dyDescent="0.25">
      <c r="Q605" s="16"/>
    </row>
    <row r="606" spans="17:17" ht="15.75" customHeight="1" x14ac:dyDescent="0.25">
      <c r="Q606" s="16"/>
    </row>
    <row r="607" spans="17:17" ht="15.75" customHeight="1" x14ac:dyDescent="0.25">
      <c r="Q607" s="16"/>
    </row>
    <row r="608" spans="17:17" ht="15.75" customHeight="1" x14ac:dyDescent="0.25">
      <c r="Q608" s="16"/>
    </row>
    <row r="609" spans="17:17" ht="15.75" customHeight="1" x14ac:dyDescent="0.25">
      <c r="Q609" s="16"/>
    </row>
    <row r="610" spans="17:17" ht="15.75" customHeight="1" x14ac:dyDescent="0.25">
      <c r="Q610" s="16"/>
    </row>
    <row r="611" spans="17:17" ht="15.75" customHeight="1" x14ac:dyDescent="0.25">
      <c r="Q611" s="16"/>
    </row>
    <row r="612" spans="17:17" ht="15.75" customHeight="1" x14ac:dyDescent="0.25">
      <c r="Q612" s="16"/>
    </row>
    <row r="613" spans="17:17" ht="15.75" customHeight="1" x14ac:dyDescent="0.25">
      <c r="Q613" s="16"/>
    </row>
    <row r="614" spans="17:17" ht="15.75" customHeight="1" x14ac:dyDescent="0.25">
      <c r="Q614" s="16"/>
    </row>
    <row r="615" spans="17:17" ht="15.75" customHeight="1" x14ac:dyDescent="0.25">
      <c r="Q615" s="16"/>
    </row>
    <row r="616" spans="17:17" ht="15.75" customHeight="1" x14ac:dyDescent="0.25">
      <c r="Q616" s="16"/>
    </row>
    <row r="617" spans="17:17" ht="15.75" customHeight="1" x14ac:dyDescent="0.25">
      <c r="Q617" s="16"/>
    </row>
    <row r="618" spans="17:17" ht="15.75" customHeight="1" x14ac:dyDescent="0.25">
      <c r="Q618" s="16"/>
    </row>
    <row r="619" spans="17:17" ht="15.75" customHeight="1" x14ac:dyDescent="0.25">
      <c r="Q619" s="16"/>
    </row>
    <row r="620" spans="17:17" ht="15.75" customHeight="1" x14ac:dyDescent="0.25">
      <c r="Q620" s="16"/>
    </row>
    <row r="621" spans="17:17" ht="15.75" customHeight="1" x14ac:dyDescent="0.25">
      <c r="Q621" s="16"/>
    </row>
    <row r="622" spans="17:17" ht="15.75" customHeight="1" x14ac:dyDescent="0.25">
      <c r="Q622" s="16"/>
    </row>
    <row r="623" spans="17:17" ht="15.75" customHeight="1" x14ac:dyDescent="0.25">
      <c r="Q623" s="16"/>
    </row>
    <row r="624" spans="17:17" ht="15.75" customHeight="1" x14ac:dyDescent="0.25">
      <c r="Q624" s="16"/>
    </row>
    <row r="625" spans="17:17" ht="15.75" customHeight="1" x14ac:dyDescent="0.25">
      <c r="Q625" s="16"/>
    </row>
    <row r="626" spans="17:17" ht="15.75" customHeight="1" x14ac:dyDescent="0.25">
      <c r="Q626" s="16"/>
    </row>
    <row r="627" spans="17:17" ht="15.75" customHeight="1" x14ac:dyDescent="0.25">
      <c r="Q627" s="16"/>
    </row>
    <row r="628" spans="17:17" ht="15.75" customHeight="1" x14ac:dyDescent="0.25">
      <c r="Q628" s="16"/>
    </row>
    <row r="629" spans="17:17" ht="15.75" customHeight="1" x14ac:dyDescent="0.25">
      <c r="Q629" s="16"/>
    </row>
    <row r="630" spans="17:17" ht="15.75" customHeight="1" x14ac:dyDescent="0.25">
      <c r="Q630" s="16"/>
    </row>
    <row r="631" spans="17:17" ht="15.75" customHeight="1" x14ac:dyDescent="0.25">
      <c r="Q631" s="16"/>
    </row>
    <row r="632" spans="17:17" ht="15.75" customHeight="1" x14ac:dyDescent="0.25">
      <c r="Q632" s="16"/>
    </row>
    <row r="633" spans="17:17" ht="15.75" customHeight="1" x14ac:dyDescent="0.25">
      <c r="Q633" s="16"/>
    </row>
    <row r="634" spans="17:17" ht="15.75" customHeight="1" x14ac:dyDescent="0.25">
      <c r="Q634" s="16"/>
    </row>
    <row r="635" spans="17:17" ht="15.75" customHeight="1" x14ac:dyDescent="0.25">
      <c r="Q635" s="16"/>
    </row>
    <row r="636" spans="17:17" ht="15.75" customHeight="1" x14ac:dyDescent="0.25">
      <c r="Q636" s="16"/>
    </row>
    <row r="637" spans="17:17" ht="15.75" customHeight="1" x14ac:dyDescent="0.25">
      <c r="Q637" s="16"/>
    </row>
    <row r="638" spans="17:17" ht="15.75" customHeight="1" x14ac:dyDescent="0.25">
      <c r="Q638" s="16"/>
    </row>
    <row r="639" spans="17:17" ht="15.75" customHeight="1" x14ac:dyDescent="0.25">
      <c r="Q639" s="16"/>
    </row>
    <row r="640" spans="17:17" ht="15.75" customHeight="1" x14ac:dyDescent="0.25">
      <c r="Q640" s="16"/>
    </row>
    <row r="641" spans="17:17" ht="15.75" customHeight="1" x14ac:dyDescent="0.25">
      <c r="Q641" s="16"/>
    </row>
    <row r="642" spans="17:17" ht="15.75" customHeight="1" x14ac:dyDescent="0.25">
      <c r="Q642" s="16"/>
    </row>
    <row r="643" spans="17:17" ht="15.75" customHeight="1" x14ac:dyDescent="0.25">
      <c r="Q643" s="16"/>
    </row>
    <row r="644" spans="17:17" ht="15.75" customHeight="1" x14ac:dyDescent="0.25">
      <c r="Q644" s="16"/>
    </row>
    <row r="645" spans="17:17" ht="15.75" customHeight="1" x14ac:dyDescent="0.25">
      <c r="Q645" s="16"/>
    </row>
    <row r="646" spans="17:17" ht="15.75" customHeight="1" x14ac:dyDescent="0.25">
      <c r="Q646" s="16"/>
    </row>
    <row r="647" spans="17:17" ht="15.75" customHeight="1" x14ac:dyDescent="0.25">
      <c r="Q647" s="16"/>
    </row>
    <row r="648" spans="17:17" ht="15.75" customHeight="1" x14ac:dyDescent="0.25">
      <c r="Q648" s="16"/>
    </row>
    <row r="649" spans="17:17" ht="15.75" customHeight="1" x14ac:dyDescent="0.25">
      <c r="Q649" s="16"/>
    </row>
    <row r="650" spans="17:17" ht="15.75" customHeight="1" x14ac:dyDescent="0.25">
      <c r="Q650" s="16"/>
    </row>
    <row r="651" spans="17:17" ht="15.75" customHeight="1" x14ac:dyDescent="0.25">
      <c r="Q651" s="16"/>
    </row>
    <row r="652" spans="17:17" ht="15.75" customHeight="1" x14ac:dyDescent="0.25">
      <c r="Q652" s="16"/>
    </row>
    <row r="653" spans="17:17" ht="15.75" customHeight="1" x14ac:dyDescent="0.25">
      <c r="Q653" s="16"/>
    </row>
    <row r="654" spans="17:17" ht="15.75" customHeight="1" x14ac:dyDescent="0.25">
      <c r="Q654" s="16"/>
    </row>
    <row r="655" spans="17:17" ht="15.75" customHeight="1" x14ac:dyDescent="0.25">
      <c r="Q655" s="16"/>
    </row>
    <row r="656" spans="17:17" ht="15.75" customHeight="1" x14ac:dyDescent="0.25">
      <c r="Q656" s="16"/>
    </row>
    <row r="657" spans="17:17" ht="15.75" customHeight="1" x14ac:dyDescent="0.25">
      <c r="Q657" s="16"/>
    </row>
    <row r="658" spans="17:17" ht="15.75" customHeight="1" x14ac:dyDescent="0.25">
      <c r="Q658" s="16"/>
    </row>
    <row r="659" spans="17:17" ht="15.75" customHeight="1" x14ac:dyDescent="0.25">
      <c r="Q659" s="16"/>
    </row>
    <row r="660" spans="17:17" ht="15.75" customHeight="1" x14ac:dyDescent="0.25">
      <c r="Q660" s="16"/>
    </row>
    <row r="661" spans="17:17" ht="15.75" customHeight="1" x14ac:dyDescent="0.25">
      <c r="Q661" s="16"/>
    </row>
    <row r="662" spans="17:17" ht="15.75" customHeight="1" x14ac:dyDescent="0.25">
      <c r="Q662" s="16"/>
    </row>
    <row r="663" spans="17:17" ht="15.75" customHeight="1" x14ac:dyDescent="0.25">
      <c r="Q663" s="16"/>
    </row>
    <row r="664" spans="17:17" ht="15.75" customHeight="1" x14ac:dyDescent="0.25">
      <c r="Q664" s="16"/>
    </row>
    <row r="665" spans="17:17" ht="15.75" customHeight="1" x14ac:dyDescent="0.25">
      <c r="Q665" s="16"/>
    </row>
    <row r="666" spans="17:17" ht="15.75" customHeight="1" x14ac:dyDescent="0.25">
      <c r="Q666" s="16"/>
    </row>
    <row r="667" spans="17:17" ht="15.75" customHeight="1" x14ac:dyDescent="0.25">
      <c r="Q667" s="16"/>
    </row>
    <row r="668" spans="17:17" ht="15.75" customHeight="1" x14ac:dyDescent="0.25">
      <c r="Q668" s="16"/>
    </row>
    <row r="669" spans="17:17" ht="15.75" customHeight="1" x14ac:dyDescent="0.25">
      <c r="Q669" s="16"/>
    </row>
    <row r="670" spans="17:17" ht="15.75" customHeight="1" x14ac:dyDescent="0.25">
      <c r="Q670" s="16"/>
    </row>
    <row r="671" spans="17:17" ht="15.75" customHeight="1" x14ac:dyDescent="0.25">
      <c r="Q671" s="16"/>
    </row>
    <row r="672" spans="17:17" ht="15.75" customHeight="1" x14ac:dyDescent="0.25">
      <c r="Q672" s="16"/>
    </row>
    <row r="673" spans="17:17" ht="15.75" customHeight="1" x14ac:dyDescent="0.25">
      <c r="Q673" s="16"/>
    </row>
    <row r="674" spans="17:17" ht="15.75" customHeight="1" x14ac:dyDescent="0.25">
      <c r="Q674" s="16"/>
    </row>
    <row r="675" spans="17:17" ht="15.75" customHeight="1" x14ac:dyDescent="0.25">
      <c r="Q675" s="16"/>
    </row>
    <row r="676" spans="17:17" ht="15.75" customHeight="1" x14ac:dyDescent="0.25">
      <c r="Q676" s="16"/>
    </row>
    <row r="677" spans="17:17" ht="15.75" customHeight="1" x14ac:dyDescent="0.25">
      <c r="Q677" s="16"/>
    </row>
    <row r="678" spans="17:17" ht="15.75" customHeight="1" x14ac:dyDescent="0.25">
      <c r="Q678" s="16"/>
    </row>
    <row r="679" spans="17:17" ht="15.75" customHeight="1" x14ac:dyDescent="0.25">
      <c r="Q679" s="16"/>
    </row>
    <row r="680" spans="17:17" ht="15.75" customHeight="1" x14ac:dyDescent="0.25">
      <c r="Q680" s="16"/>
    </row>
    <row r="681" spans="17:17" ht="15.75" customHeight="1" x14ac:dyDescent="0.25">
      <c r="Q681" s="16"/>
    </row>
    <row r="682" spans="17:17" ht="15.75" customHeight="1" x14ac:dyDescent="0.25">
      <c r="Q682" s="16"/>
    </row>
    <row r="683" spans="17:17" ht="15.75" customHeight="1" x14ac:dyDescent="0.25">
      <c r="Q683" s="16"/>
    </row>
    <row r="684" spans="17:17" ht="15.75" customHeight="1" x14ac:dyDescent="0.25">
      <c r="Q684" s="16"/>
    </row>
    <row r="685" spans="17:17" ht="15.75" customHeight="1" x14ac:dyDescent="0.25">
      <c r="Q685" s="16"/>
    </row>
    <row r="686" spans="17:17" ht="15.75" customHeight="1" x14ac:dyDescent="0.25">
      <c r="Q686" s="16"/>
    </row>
    <row r="687" spans="17:17" ht="15.75" customHeight="1" x14ac:dyDescent="0.25">
      <c r="Q687" s="16"/>
    </row>
    <row r="688" spans="17:17" ht="15.75" customHeight="1" x14ac:dyDescent="0.25">
      <c r="Q688" s="16"/>
    </row>
    <row r="689" spans="17:17" ht="15.75" customHeight="1" x14ac:dyDescent="0.25">
      <c r="Q689" s="16"/>
    </row>
    <row r="690" spans="17:17" ht="15.75" customHeight="1" x14ac:dyDescent="0.25">
      <c r="Q690" s="16"/>
    </row>
    <row r="691" spans="17:17" ht="15.75" customHeight="1" x14ac:dyDescent="0.25">
      <c r="Q691" s="16"/>
    </row>
    <row r="692" spans="17:17" ht="15.75" customHeight="1" x14ac:dyDescent="0.25">
      <c r="Q692" s="16"/>
    </row>
    <row r="693" spans="17:17" ht="15.75" customHeight="1" x14ac:dyDescent="0.25">
      <c r="Q693" s="16"/>
    </row>
    <row r="694" spans="17:17" ht="15.75" customHeight="1" x14ac:dyDescent="0.25">
      <c r="Q694" s="16"/>
    </row>
    <row r="695" spans="17:17" ht="15.75" customHeight="1" x14ac:dyDescent="0.25">
      <c r="Q695" s="16"/>
    </row>
    <row r="696" spans="17:17" ht="15.75" customHeight="1" x14ac:dyDescent="0.25">
      <c r="Q696" s="16"/>
    </row>
    <row r="697" spans="17:17" ht="15.75" customHeight="1" x14ac:dyDescent="0.25">
      <c r="Q697" s="16"/>
    </row>
    <row r="698" spans="17:17" ht="15.75" customHeight="1" x14ac:dyDescent="0.25">
      <c r="Q698" s="16"/>
    </row>
    <row r="699" spans="17:17" ht="15.75" customHeight="1" x14ac:dyDescent="0.25">
      <c r="Q699" s="16"/>
    </row>
    <row r="700" spans="17:17" ht="15.75" customHeight="1" x14ac:dyDescent="0.25">
      <c r="Q700" s="16"/>
    </row>
    <row r="701" spans="17:17" ht="15.75" customHeight="1" x14ac:dyDescent="0.25">
      <c r="Q701" s="16"/>
    </row>
    <row r="702" spans="17:17" ht="15.75" customHeight="1" x14ac:dyDescent="0.25">
      <c r="Q702" s="16"/>
    </row>
    <row r="703" spans="17:17" ht="15.75" customHeight="1" x14ac:dyDescent="0.25">
      <c r="Q703" s="16"/>
    </row>
    <row r="704" spans="17:17" ht="15.75" customHeight="1" x14ac:dyDescent="0.25">
      <c r="Q704" s="16"/>
    </row>
    <row r="705" spans="17:17" ht="15.75" customHeight="1" x14ac:dyDescent="0.25">
      <c r="Q705" s="16"/>
    </row>
    <row r="706" spans="17:17" ht="15.75" customHeight="1" x14ac:dyDescent="0.25">
      <c r="Q706" s="16"/>
    </row>
    <row r="707" spans="17:17" ht="15.75" customHeight="1" x14ac:dyDescent="0.25">
      <c r="Q707" s="16"/>
    </row>
    <row r="708" spans="17:17" ht="15.75" customHeight="1" x14ac:dyDescent="0.25">
      <c r="Q708" s="16"/>
    </row>
    <row r="709" spans="17:17" ht="15.75" customHeight="1" x14ac:dyDescent="0.25">
      <c r="Q709" s="16"/>
    </row>
    <row r="710" spans="17:17" ht="15.75" customHeight="1" x14ac:dyDescent="0.25">
      <c r="Q710" s="16"/>
    </row>
    <row r="711" spans="17:17" ht="15.75" customHeight="1" x14ac:dyDescent="0.25">
      <c r="Q711" s="16"/>
    </row>
    <row r="712" spans="17:17" ht="15.75" customHeight="1" x14ac:dyDescent="0.25">
      <c r="Q712" s="16"/>
    </row>
    <row r="713" spans="17:17" ht="15.75" customHeight="1" x14ac:dyDescent="0.25">
      <c r="Q713" s="16"/>
    </row>
    <row r="714" spans="17:17" ht="15.75" customHeight="1" x14ac:dyDescent="0.25">
      <c r="Q714" s="16"/>
    </row>
    <row r="715" spans="17:17" ht="15.75" customHeight="1" x14ac:dyDescent="0.25">
      <c r="Q715" s="16"/>
    </row>
    <row r="716" spans="17:17" ht="15.75" customHeight="1" x14ac:dyDescent="0.25">
      <c r="Q716" s="16"/>
    </row>
    <row r="717" spans="17:17" ht="15.75" customHeight="1" x14ac:dyDescent="0.25">
      <c r="Q717" s="16"/>
    </row>
    <row r="718" spans="17:17" ht="15.75" customHeight="1" x14ac:dyDescent="0.25">
      <c r="Q718" s="16"/>
    </row>
    <row r="719" spans="17:17" ht="15.75" customHeight="1" x14ac:dyDescent="0.25">
      <c r="Q719" s="16"/>
    </row>
    <row r="720" spans="17:17" ht="15.75" customHeight="1" x14ac:dyDescent="0.25">
      <c r="Q720" s="16"/>
    </row>
    <row r="721" spans="17:17" ht="15.75" customHeight="1" x14ac:dyDescent="0.25">
      <c r="Q721" s="16"/>
    </row>
    <row r="722" spans="17:17" ht="15.75" customHeight="1" x14ac:dyDescent="0.25">
      <c r="Q722" s="16"/>
    </row>
    <row r="723" spans="17:17" ht="15.75" customHeight="1" x14ac:dyDescent="0.25">
      <c r="Q723" s="16"/>
    </row>
    <row r="724" spans="17:17" ht="15.75" customHeight="1" x14ac:dyDescent="0.25">
      <c r="Q724" s="16"/>
    </row>
    <row r="725" spans="17:17" ht="15.75" customHeight="1" x14ac:dyDescent="0.25">
      <c r="Q725" s="16"/>
    </row>
    <row r="726" spans="17:17" ht="15.75" customHeight="1" x14ac:dyDescent="0.25">
      <c r="Q726" s="16"/>
    </row>
    <row r="727" spans="17:17" ht="15.75" customHeight="1" x14ac:dyDescent="0.25">
      <c r="Q727" s="16"/>
    </row>
    <row r="728" spans="17:17" ht="15.75" customHeight="1" x14ac:dyDescent="0.25">
      <c r="Q728" s="16"/>
    </row>
    <row r="729" spans="17:17" ht="15.75" customHeight="1" x14ac:dyDescent="0.25">
      <c r="Q729" s="16"/>
    </row>
    <row r="730" spans="17:17" ht="15.75" customHeight="1" x14ac:dyDescent="0.25">
      <c r="Q730" s="16"/>
    </row>
    <row r="731" spans="17:17" ht="15.75" customHeight="1" x14ac:dyDescent="0.25">
      <c r="Q731" s="16"/>
    </row>
    <row r="732" spans="17:17" ht="15.75" customHeight="1" x14ac:dyDescent="0.25">
      <c r="Q732" s="16"/>
    </row>
    <row r="733" spans="17:17" ht="15.75" customHeight="1" x14ac:dyDescent="0.25">
      <c r="Q733" s="16"/>
    </row>
    <row r="734" spans="17:17" ht="15.75" customHeight="1" x14ac:dyDescent="0.25">
      <c r="Q734" s="16"/>
    </row>
    <row r="735" spans="17:17" ht="15.75" customHeight="1" x14ac:dyDescent="0.25">
      <c r="Q735" s="16"/>
    </row>
    <row r="736" spans="17:17" ht="15.75" customHeight="1" x14ac:dyDescent="0.25">
      <c r="Q736" s="16"/>
    </row>
    <row r="737" spans="17:17" ht="15.75" customHeight="1" x14ac:dyDescent="0.25">
      <c r="Q737" s="16"/>
    </row>
    <row r="738" spans="17:17" ht="15.75" customHeight="1" x14ac:dyDescent="0.25">
      <c r="Q738" s="16"/>
    </row>
    <row r="739" spans="17:17" ht="15.75" customHeight="1" x14ac:dyDescent="0.25">
      <c r="Q739" s="16"/>
    </row>
    <row r="740" spans="17:17" ht="15.75" customHeight="1" x14ac:dyDescent="0.25">
      <c r="Q740" s="16"/>
    </row>
  </sheetData>
  <mergeCells count="19">
    <mergeCell ref="A1:B1"/>
    <mergeCell ref="AH1:AJ1"/>
    <mergeCell ref="AK1:AM1"/>
    <mergeCell ref="S1:U1"/>
    <mergeCell ref="V1:X1"/>
    <mergeCell ref="Y1:AA1"/>
    <mergeCell ref="AB1:AD1"/>
    <mergeCell ref="BC1:BE1"/>
    <mergeCell ref="C1:F1"/>
    <mergeCell ref="G1:I1"/>
    <mergeCell ref="J1:L1"/>
    <mergeCell ref="M1:O1"/>
    <mergeCell ref="P1:R1"/>
    <mergeCell ref="AE1:AG1"/>
    <mergeCell ref="AN1:AP1"/>
    <mergeCell ref="AQ1:AS1"/>
    <mergeCell ref="AT1:AV1"/>
    <mergeCell ref="AW1:AY1"/>
    <mergeCell ref="AZ1:BB1"/>
  </mergeCells>
  <conditionalFormatting sqref="P103:R103 P3:R73 P78:R101 P107:R135">
    <cfRule type="cellIs" dxfId="14" priority="6" operator="between">
      <formula>"0%"</formula>
      <formula>"25%"</formula>
    </cfRule>
  </conditionalFormatting>
  <conditionalFormatting sqref="P103:R103 P3:R73 P78:R101 P107:R135">
    <cfRule type="cellIs" dxfId="13" priority="7" operator="between">
      <formula>"25.01%"</formula>
      <formula>"50%"</formula>
    </cfRule>
  </conditionalFormatting>
  <conditionalFormatting sqref="P103:R103 P3:R73 P78:R101 P107:R135">
    <cfRule type="cellIs" dxfId="12" priority="8" operator="between">
      <formula>"50.01%"</formula>
      <formula>"75%"</formula>
    </cfRule>
  </conditionalFormatting>
  <conditionalFormatting sqref="P103:R103 P3:R73 P78:R101 P107:R135">
    <cfRule type="cellIs" dxfId="11" priority="9" operator="between">
      <formula>"75.01%"</formula>
      <formula>"99.99%"</formula>
    </cfRule>
  </conditionalFormatting>
  <conditionalFormatting sqref="P103:R103 P3:R73 P78:R101 P107:R135">
    <cfRule type="cellIs" dxfId="10" priority="10" operator="greaterThanOrEqual">
      <formula>"100%"</formula>
    </cfRule>
  </conditionalFormatting>
  <conditionalFormatting sqref="P105:R105">
    <cfRule type="cellIs" dxfId="9" priority="11" operator="between">
      <formula>"0%"</formula>
      <formula>"25%"</formula>
    </cfRule>
  </conditionalFormatting>
  <conditionalFormatting sqref="P105:R105">
    <cfRule type="cellIs" dxfId="8" priority="12" operator="between">
      <formula>"25.01%"</formula>
      <formula>"50%"</formula>
    </cfRule>
  </conditionalFormatting>
  <conditionalFormatting sqref="P105:R105">
    <cfRule type="cellIs" dxfId="7" priority="13" operator="between">
      <formula>"50.01%"</formula>
      <formula>"75%"</formula>
    </cfRule>
  </conditionalFormatting>
  <conditionalFormatting sqref="P105:R105">
    <cfRule type="cellIs" dxfId="6" priority="14" operator="between">
      <formula>"75.01%"</formula>
      <formula>"99.99%"</formula>
    </cfRule>
  </conditionalFormatting>
  <conditionalFormatting sqref="P105:R105">
    <cfRule type="cellIs" dxfId="5" priority="15" operator="greaterThanOrEqual">
      <formula>"100%"</formula>
    </cfRule>
  </conditionalFormatting>
  <conditionalFormatting sqref="P74:R77">
    <cfRule type="cellIs" dxfId="4" priority="1" operator="between">
      <formula>"0%"</formula>
      <formula>"25%"</formula>
    </cfRule>
  </conditionalFormatting>
  <conditionalFormatting sqref="P74:R77">
    <cfRule type="cellIs" dxfId="3" priority="2" operator="between">
      <formula>"25.01%"</formula>
      <formula>"50%"</formula>
    </cfRule>
  </conditionalFormatting>
  <conditionalFormatting sqref="P74:R77">
    <cfRule type="cellIs" dxfId="2" priority="3" operator="between">
      <formula>"50.01%"</formula>
      <formula>"75%"</formula>
    </cfRule>
  </conditionalFormatting>
  <conditionalFormatting sqref="P74:R77">
    <cfRule type="cellIs" dxfId="1" priority="4" operator="between">
      <formula>"75.01%"</formula>
      <formula>"99.99%"</formula>
    </cfRule>
  </conditionalFormatting>
  <conditionalFormatting sqref="P74:R77">
    <cfRule type="cellIs" dxfId="0" priority="5" operator="greaterThanOrEqual">
      <formula>"100%"</formula>
    </cfRule>
  </conditionalFormatting>
  <pageMargins left="0.78749999999999998" right="0.78749999999999998" top="0.51180555555555496" bottom="0.51180555555555496" header="0" footer="0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PUBLIC.DEZ21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Lidiane Kasper</dc:creator>
  <cp:lastModifiedBy>Setor Contabil</cp:lastModifiedBy>
  <cp:lastPrinted>2021-10-13T01:06:40Z</cp:lastPrinted>
  <dcterms:created xsi:type="dcterms:W3CDTF">2020-01-10T15:57:46Z</dcterms:created>
  <dcterms:modified xsi:type="dcterms:W3CDTF">2022-03-22T19:23:22Z</dcterms:modified>
</cp:coreProperties>
</file>